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exaportfoliostrategies-my.sharepoint.com/personal/mdion_nexaportfoliostrategies_com/Documents/Documents/Investor Reporting/"/>
    </mc:Choice>
  </mc:AlternateContent>
  <xr:revisionPtr revIDLastSave="519" documentId="8_{D82F00D4-56A8-4C4F-956B-742610D82E5D}" xr6:coauthVersionLast="47" xr6:coauthVersionMax="47" xr10:uidLastSave="{17946469-07BF-4F18-AF2A-0F85E420FF1D}"/>
  <bookViews>
    <workbookView xWindow="-120" yWindow="-120" windowWidth="29040" windowHeight="15720" xr2:uid="{00000000-000D-0000-FFFF-FFFF00000000}"/>
  </bookViews>
  <sheets>
    <sheet name="XTARGETS" sheetId="1" r:id="rId1"/>
    <sheet name="Colle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lBPvO2Ok4cJJO+5JEy2PH1nVfrlmuAfxLIMUj0AGyk="/>
    </ext>
  </extLst>
</workbook>
</file>

<file path=xl/calcChain.xml><?xml version="1.0" encoding="utf-8"?>
<calcChain xmlns="http://schemas.openxmlformats.org/spreadsheetml/2006/main">
  <c r="N71" i="1" l="1"/>
  <c r="T54" i="2"/>
  <c r="U54" i="2"/>
  <c r="V54" i="2"/>
  <c r="W54" i="2"/>
  <c r="X54" i="2"/>
  <c r="Y54" i="2"/>
  <c r="Z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F54" i="2"/>
  <c r="C54" i="2"/>
  <c r="C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S105" i="2"/>
  <c r="S106" i="2"/>
  <c r="S107" i="2"/>
  <c r="S108" i="2"/>
  <c r="S96" i="2"/>
  <c r="S73" i="2"/>
  <c r="S74" i="2"/>
  <c r="T73" i="2"/>
  <c r="T74" i="2"/>
  <c r="C8" i="1"/>
  <c r="Y116" i="1"/>
  <c r="Y117" i="1"/>
  <c r="Y118" i="1"/>
  <c r="Y119" i="1"/>
  <c r="Y107" i="1"/>
  <c r="Y84" i="1"/>
  <c r="Y85" i="1"/>
  <c r="M120" i="1"/>
  <c r="L120" i="1"/>
  <c r="K120" i="1"/>
  <c r="J120" i="1"/>
  <c r="I120" i="1"/>
  <c r="H120" i="1"/>
  <c r="G120" i="1"/>
  <c r="O116" i="1"/>
  <c r="O117" i="1"/>
  <c r="O118" i="1"/>
  <c r="O119" i="1"/>
  <c r="O107" i="1"/>
  <c r="O84" i="1"/>
  <c r="O85" i="1"/>
  <c r="N84" i="1"/>
  <c r="N85" i="1"/>
  <c r="O63" i="1"/>
  <c r="O64" i="1"/>
  <c r="O65" i="1"/>
  <c r="O66" i="1"/>
  <c r="O54" i="1"/>
  <c r="O31" i="1"/>
  <c r="O32" i="1"/>
  <c r="K67" i="1"/>
  <c r="J67" i="1"/>
  <c r="G67" i="1"/>
  <c r="H66" i="1"/>
  <c r="I66" i="1" s="1"/>
  <c r="F66" i="1" s="1"/>
  <c r="H65" i="1"/>
  <c r="I65" i="1" s="1"/>
  <c r="F65" i="1" s="1"/>
  <c r="H64" i="1"/>
  <c r="I64" i="1" s="1"/>
  <c r="H63" i="1"/>
  <c r="I63" i="1" s="1"/>
  <c r="F63" i="1" s="1"/>
  <c r="H54" i="1"/>
  <c r="I54" i="1" s="1"/>
  <c r="F54" i="1" s="1"/>
  <c r="H32" i="1"/>
  <c r="I32" i="1" s="1"/>
  <c r="F32" i="1" s="1"/>
  <c r="H31" i="1"/>
  <c r="I31" i="1"/>
  <c r="F31" i="1"/>
  <c r="T108" i="2"/>
  <c r="N119" i="1" s="1"/>
  <c r="T105" i="2"/>
  <c r="N116" i="1" s="1"/>
  <c r="T106" i="2"/>
  <c r="N117" i="1" s="1"/>
  <c r="T107" i="2"/>
  <c r="N118" i="1" s="1"/>
  <c r="T96" i="2"/>
  <c r="N107" i="1" s="1"/>
  <c r="T50" i="2"/>
  <c r="T51" i="2"/>
  <c r="N64" i="1" s="1"/>
  <c r="T52" i="2"/>
  <c r="N65" i="1" s="1"/>
  <c r="T53" i="2"/>
  <c r="Z51" i="2"/>
  <c r="AA51" i="2" s="1"/>
  <c r="Z52" i="2"/>
  <c r="AA52" i="2" s="1"/>
  <c r="T18" i="2"/>
  <c r="T19" i="2"/>
  <c r="T41" i="2"/>
  <c r="S94" i="2"/>
  <c r="S49" i="2"/>
  <c r="S7" i="2"/>
  <c r="S8" i="2"/>
  <c r="S9" i="2"/>
  <c r="S10" i="2"/>
  <c r="S11" i="2"/>
  <c r="S12" i="2"/>
  <c r="S13" i="2"/>
  <c r="S14" i="2"/>
  <c r="S15" i="2"/>
  <c r="S16" i="2"/>
  <c r="S17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2" i="2"/>
  <c r="S43" i="2"/>
  <c r="S44" i="2"/>
  <c r="S45" i="2"/>
  <c r="S46" i="2"/>
  <c r="S47" i="2"/>
  <c r="S48" i="2"/>
  <c r="S6" i="2"/>
  <c r="S5" i="2"/>
  <c r="E106" i="1"/>
  <c r="E105" i="1"/>
  <c r="R104" i="2"/>
  <c r="S104" i="2" s="1"/>
  <c r="R103" i="2"/>
  <c r="R102" i="2"/>
  <c r="R101" i="2"/>
  <c r="R100" i="2"/>
  <c r="R99" i="2"/>
  <c r="R98" i="2"/>
  <c r="R97" i="2"/>
  <c r="R95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O106" i="1"/>
  <c r="O105" i="1"/>
  <c r="O53" i="1"/>
  <c r="O52" i="1"/>
  <c r="AC95" i="2"/>
  <c r="AC94" i="2"/>
  <c r="T94" i="2"/>
  <c r="D95" i="2"/>
  <c r="D94" i="2"/>
  <c r="AD94" i="2"/>
  <c r="H53" i="1"/>
  <c r="I53" i="1" s="1"/>
  <c r="H106" i="1"/>
  <c r="I106" i="1" s="1"/>
  <c r="H105" i="1"/>
  <c r="I105" i="1" s="1"/>
  <c r="C115" i="1"/>
  <c r="C114" i="1"/>
  <c r="C113" i="1"/>
  <c r="C112" i="1"/>
  <c r="C111" i="1"/>
  <c r="C110" i="1"/>
  <c r="C109" i="1"/>
  <c r="C108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H52" i="1"/>
  <c r="I52" i="1" s="1"/>
  <c r="T49" i="2"/>
  <c r="Z49" i="2" s="1"/>
  <c r="T48" i="2"/>
  <c r="Z48" i="2" s="1"/>
  <c r="T47" i="2"/>
  <c r="Z47" i="2" s="1"/>
  <c r="T46" i="2"/>
  <c r="Z46" i="2" s="1"/>
  <c r="T45" i="2"/>
  <c r="Z45" i="2" s="1"/>
  <c r="T44" i="2"/>
  <c r="Z44" i="2" s="1"/>
  <c r="T43" i="2"/>
  <c r="Z43" i="2" s="1"/>
  <c r="T42" i="2"/>
  <c r="Z42" i="2" s="1"/>
  <c r="T40" i="2"/>
  <c r="T39" i="2"/>
  <c r="N52" i="1" s="1"/>
  <c r="T38" i="2"/>
  <c r="Z38" i="2" s="1"/>
  <c r="T37" i="2"/>
  <c r="Z37" i="2" s="1"/>
  <c r="Z39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AD95" i="2"/>
  <c r="Z36" i="2"/>
  <c r="P118" i="1" l="1"/>
  <c r="Q118" i="1"/>
  <c r="S118" i="1"/>
  <c r="P119" i="1"/>
  <c r="Q119" i="1"/>
  <c r="S119" i="1"/>
  <c r="P117" i="1"/>
  <c r="Q117" i="1"/>
  <c r="S117" i="1"/>
  <c r="P116" i="1"/>
  <c r="Q116" i="1"/>
  <c r="S116" i="1"/>
  <c r="P107" i="1"/>
  <c r="Q107" i="1"/>
  <c r="S107" i="1"/>
  <c r="S84" i="1"/>
  <c r="Q84" i="1"/>
  <c r="P84" i="1"/>
  <c r="S85" i="1"/>
  <c r="Q85" i="1"/>
  <c r="P85" i="1"/>
  <c r="Z53" i="2"/>
  <c r="AA53" i="2" s="1"/>
  <c r="N66" i="1"/>
  <c r="N63" i="1"/>
  <c r="Z50" i="2"/>
  <c r="AA50" i="2" s="1"/>
  <c r="Z41" i="2"/>
  <c r="AA41" i="2" s="1"/>
  <c r="N54" i="1"/>
  <c r="Z19" i="2"/>
  <c r="AA19" i="2" s="1"/>
  <c r="N32" i="1"/>
  <c r="Z18" i="2"/>
  <c r="AA18" i="2" s="1"/>
  <c r="N31" i="1"/>
  <c r="S64" i="1"/>
  <c r="Q64" i="1"/>
  <c r="P64" i="1"/>
  <c r="S65" i="1"/>
  <c r="Q65" i="1"/>
  <c r="P65" i="1"/>
  <c r="Q66" i="1"/>
  <c r="S31" i="1"/>
  <c r="Q31" i="1"/>
  <c r="P31" i="1"/>
  <c r="P32" i="1"/>
  <c r="F64" i="1"/>
  <c r="F106" i="1"/>
  <c r="Y106" i="1"/>
  <c r="F105" i="1"/>
  <c r="Y105" i="1"/>
  <c r="C39" i="2"/>
  <c r="F52" i="1"/>
  <c r="T95" i="2"/>
  <c r="S95" i="2"/>
  <c r="N105" i="1"/>
  <c r="Z94" i="2"/>
  <c r="Z40" i="2"/>
  <c r="N53" i="1"/>
  <c r="Q52" i="1"/>
  <c r="S52" i="1"/>
  <c r="P52" i="1"/>
  <c r="X60" i="2"/>
  <c r="T104" i="2"/>
  <c r="N115" i="1" s="1"/>
  <c r="F53" i="1"/>
  <c r="C40" i="2"/>
  <c r="Q62" i="2"/>
  <c r="T118" i="1" l="1"/>
  <c r="R118" i="1"/>
  <c r="T119" i="1"/>
  <c r="R119" i="1"/>
  <c r="R117" i="1"/>
  <c r="T117" i="1"/>
  <c r="R116" i="1"/>
  <c r="T116" i="1"/>
  <c r="R107" i="1"/>
  <c r="T107" i="1"/>
  <c r="R84" i="1"/>
  <c r="T84" i="1"/>
  <c r="R85" i="1"/>
  <c r="T85" i="1"/>
  <c r="S66" i="1"/>
  <c r="P66" i="1"/>
  <c r="S63" i="1"/>
  <c r="Q63" i="1"/>
  <c r="P63" i="1"/>
  <c r="P54" i="1"/>
  <c r="S54" i="1"/>
  <c r="Q54" i="1"/>
  <c r="S32" i="1"/>
  <c r="Q32" i="1"/>
  <c r="R64" i="1"/>
  <c r="T64" i="1"/>
  <c r="R65" i="1"/>
  <c r="T65" i="1"/>
  <c r="R31" i="1"/>
  <c r="T31" i="1"/>
  <c r="R32" i="1"/>
  <c r="T32" i="1"/>
  <c r="C94" i="2"/>
  <c r="AA39" i="2"/>
  <c r="Z95" i="2"/>
  <c r="N106" i="1"/>
  <c r="P106" i="1" s="1"/>
  <c r="P105" i="1"/>
  <c r="S105" i="1"/>
  <c r="Q105" i="1"/>
  <c r="AA94" i="2"/>
  <c r="AE94" i="2"/>
  <c r="P53" i="1"/>
  <c r="S53" i="1"/>
  <c r="Q53" i="1"/>
  <c r="R52" i="1"/>
  <c r="T52" i="1"/>
  <c r="C95" i="2"/>
  <c r="AA40" i="2"/>
  <c r="Q103" i="2"/>
  <c r="Q102" i="2"/>
  <c r="Q101" i="2"/>
  <c r="Q100" i="2"/>
  <c r="Q99" i="2"/>
  <c r="Q98" i="2"/>
  <c r="Q97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60" i="2"/>
  <c r="Q76" i="2"/>
  <c r="Q75" i="2"/>
  <c r="Q72" i="2"/>
  <c r="Q71" i="2"/>
  <c r="Q70" i="2"/>
  <c r="Q69" i="2"/>
  <c r="Q68" i="2"/>
  <c r="Q67" i="2"/>
  <c r="Q66" i="2"/>
  <c r="Q65" i="2"/>
  <c r="Q64" i="2"/>
  <c r="Q63" i="2"/>
  <c r="Q61" i="2"/>
  <c r="T63" i="1" l="1"/>
  <c r="R63" i="1"/>
  <c r="T66" i="1"/>
  <c r="R66" i="1"/>
  <c r="R54" i="1"/>
  <c r="T54" i="1"/>
  <c r="Q106" i="1"/>
  <c r="S106" i="1"/>
  <c r="AA95" i="2"/>
  <c r="AE95" i="2"/>
  <c r="R105" i="1"/>
  <c r="T105" i="1"/>
  <c r="R53" i="1"/>
  <c r="T53" i="1"/>
  <c r="T103" i="2"/>
  <c r="S103" i="2"/>
  <c r="T100" i="2"/>
  <c r="S100" i="2"/>
  <c r="T93" i="2"/>
  <c r="S93" i="2"/>
  <c r="T92" i="2"/>
  <c r="S92" i="2"/>
  <c r="T72" i="2"/>
  <c r="S72" i="2"/>
  <c r="R106" i="1"/>
  <c r="T106" i="1"/>
  <c r="P63" i="2"/>
  <c r="P102" i="2"/>
  <c r="P101" i="2"/>
  <c r="P99" i="2"/>
  <c r="P98" i="2"/>
  <c r="P97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1" i="2"/>
  <c r="P70" i="2"/>
  <c r="P69" i="2"/>
  <c r="P68" i="2"/>
  <c r="P67" i="2"/>
  <c r="P66" i="2"/>
  <c r="P65" i="2"/>
  <c r="P64" i="2"/>
  <c r="P62" i="2"/>
  <c r="P61" i="2"/>
  <c r="P60" i="2"/>
  <c r="Z103" i="2" l="1"/>
  <c r="N114" i="1"/>
  <c r="Z100" i="2"/>
  <c r="N111" i="1"/>
  <c r="Z93" i="2"/>
  <c r="N104" i="1"/>
  <c r="Z92" i="2"/>
  <c r="N103" i="1"/>
  <c r="Z72" i="2"/>
  <c r="N83" i="1"/>
  <c r="T102" i="2"/>
  <c r="S102" i="2"/>
  <c r="T101" i="2"/>
  <c r="S101" i="2"/>
  <c r="T91" i="2"/>
  <c r="S91" i="2"/>
  <c r="T90" i="2"/>
  <c r="S90" i="2"/>
  <c r="T71" i="2"/>
  <c r="S71" i="2"/>
  <c r="O99" i="2"/>
  <c r="O98" i="2"/>
  <c r="O97" i="2"/>
  <c r="O89" i="2"/>
  <c r="O88" i="2"/>
  <c r="O87" i="2"/>
  <c r="O86" i="2"/>
  <c r="O84" i="2"/>
  <c r="O83" i="2"/>
  <c r="O82" i="2"/>
  <c r="O78" i="2"/>
  <c r="O76" i="2"/>
  <c r="O75" i="2"/>
  <c r="O70" i="2"/>
  <c r="O69" i="2"/>
  <c r="O68" i="2"/>
  <c r="O66" i="2"/>
  <c r="O65" i="2"/>
  <c r="O64" i="2"/>
  <c r="O63" i="2"/>
  <c r="N85" i="2"/>
  <c r="N84" i="2"/>
  <c r="N83" i="2"/>
  <c r="N82" i="2"/>
  <c r="N81" i="2"/>
  <c r="N80" i="2"/>
  <c r="N78" i="2"/>
  <c r="N76" i="2"/>
  <c r="N75" i="2"/>
  <c r="N68" i="2"/>
  <c r="N66" i="2"/>
  <c r="N64" i="2"/>
  <c r="N79" i="2"/>
  <c r="N77" i="2"/>
  <c r="N67" i="2"/>
  <c r="O85" i="2"/>
  <c r="N60" i="2"/>
  <c r="O81" i="2"/>
  <c r="O80" i="2"/>
  <c r="O79" i="2"/>
  <c r="O77" i="2"/>
  <c r="O67" i="2"/>
  <c r="O62" i="2"/>
  <c r="O61" i="2"/>
  <c r="O60" i="2"/>
  <c r="Z102" i="2" l="1"/>
  <c r="N113" i="1"/>
  <c r="Z101" i="2"/>
  <c r="N112" i="1"/>
  <c r="Z91" i="2"/>
  <c r="N102" i="1"/>
  <c r="Z90" i="2"/>
  <c r="N101" i="1"/>
  <c r="Z71" i="2"/>
  <c r="N82" i="1"/>
  <c r="T99" i="2"/>
  <c r="S99" i="2"/>
  <c r="T98" i="2"/>
  <c r="S98" i="2"/>
  <c r="T97" i="2"/>
  <c r="S97" i="2"/>
  <c r="T89" i="2"/>
  <c r="S89" i="2"/>
  <c r="T88" i="2"/>
  <c r="S88" i="2"/>
  <c r="T70" i="2"/>
  <c r="S70" i="2"/>
  <c r="O103" i="1"/>
  <c r="E115" i="1"/>
  <c r="E114" i="1"/>
  <c r="E113" i="1"/>
  <c r="E112" i="1"/>
  <c r="E111" i="1"/>
  <c r="E110" i="1"/>
  <c r="E109" i="1"/>
  <c r="E108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1" i="2"/>
  <c r="E104" i="2"/>
  <c r="E103" i="2"/>
  <c r="E102" i="2"/>
  <c r="E101" i="2"/>
  <c r="E100" i="2"/>
  <c r="E99" i="2"/>
  <c r="E98" i="2"/>
  <c r="E97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2" i="2"/>
  <c r="E70" i="2"/>
  <c r="E69" i="2"/>
  <c r="E68" i="2"/>
  <c r="E67" i="2"/>
  <c r="E66" i="2"/>
  <c r="E65" i="2"/>
  <c r="E64" i="2"/>
  <c r="E63" i="2"/>
  <c r="E62" i="2"/>
  <c r="E61" i="2"/>
  <c r="E60" i="2"/>
  <c r="O104" i="1"/>
  <c r="O114" i="1"/>
  <c r="H83" i="1"/>
  <c r="I83" i="1" s="1"/>
  <c r="O115" i="1"/>
  <c r="O111" i="1"/>
  <c r="O109" i="1"/>
  <c r="O97" i="1"/>
  <c r="O89" i="1"/>
  <c r="O79" i="1"/>
  <c r="O78" i="1"/>
  <c r="O62" i="1"/>
  <c r="O61" i="1"/>
  <c r="O60" i="1"/>
  <c r="O59" i="1"/>
  <c r="O58" i="1"/>
  <c r="O57" i="1"/>
  <c r="O56" i="1"/>
  <c r="O55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0" i="1"/>
  <c r="O29" i="1"/>
  <c r="O28" i="1"/>
  <c r="O27" i="1"/>
  <c r="O26" i="1"/>
  <c r="O25" i="1"/>
  <c r="O24" i="1"/>
  <c r="O23" i="1"/>
  <c r="O22" i="1"/>
  <c r="O21" i="1"/>
  <c r="O20" i="1"/>
  <c r="O19" i="1"/>
  <c r="AD104" i="2"/>
  <c r="AD103" i="2"/>
  <c r="AD102" i="2"/>
  <c r="AD101" i="2"/>
  <c r="AD100" i="2"/>
  <c r="AD99" i="2"/>
  <c r="AD98" i="2"/>
  <c r="AD97" i="2"/>
  <c r="AD93" i="2"/>
  <c r="AD92" i="2"/>
  <c r="AD91" i="2"/>
  <c r="AD90" i="2"/>
  <c r="AD89" i="2"/>
  <c r="AD88" i="2"/>
  <c r="AD87" i="2"/>
  <c r="AD86" i="2"/>
  <c r="AD85" i="2"/>
  <c r="AD84" i="2"/>
  <c r="AD83" i="2"/>
  <c r="AD82" i="2"/>
  <c r="AD81" i="2"/>
  <c r="AD80" i="2"/>
  <c r="AD79" i="2"/>
  <c r="AD78" i="2"/>
  <c r="AD77" i="2"/>
  <c r="AD76" i="2"/>
  <c r="AD75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C104" i="2"/>
  <c r="AC103" i="2"/>
  <c r="AC93" i="2"/>
  <c r="AC92" i="2"/>
  <c r="AC72" i="2"/>
  <c r="Z104" i="2"/>
  <c r="D104" i="2"/>
  <c r="D103" i="2"/>
  <c r="D93" i="2"/>
  <c r="D92" i="2"/>
  <c r="D72" i="2"/>
  <c r="N55" i="1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16" i="2"/>
  <c r="Z15" i="2"/>
  <c r="Z14" i="2"/>
  <c r="Z13" i="2"/>
  <c r="Z12" i="2"/>
  <c r="Z11" i="2"/>
  <c r="Z10" i="2"/>
  <c r="Z8" i="2"/>
  <c r="Z7" i="2"/>
  <c r="H115" i="1"/>
  <c r="I115" i="1" s="1"/>
  <c r="H114" i="1"/>
  <c r="I114" i="1" s="1"/>
  <c r="H104" i="1"/>
  <c r="I104" i="1" s="1"/>
  <c r="H103" i="1"/>
  <c r="C3" i="1"/>
  <c r="H62" i="1"/>
  <c r="I62" i="1"/>
  <c r="C49" i="2" s="1"/>
  <c r="H61" i="1"/>
  <c r="I61" i="1" s="1"/>
  <c r="F62" i="1"/>
  <c r="H51" i="1"/>
  <c r="I51" i="1" s="1"/>
  <c r="C38" i="2" s="1"/>
  <c r="H50" i="1"/>
  <c r="I50" i="1"/>
  <c r="C37" i="2" s="1"/>
  <c r="F50" i="1"/>
  <c r="H30" i="1"/>
  <c r="I30" i="1" s="1"/>
  <c r="O113" i="1"/>
  <c r="O72" i="1"/>
  <c r="O112" i="1"/>
  <c r="O110" i="1"/>
  <c r="O108" i="1"/>
  <c r="O102" i="1"/>
  <c r="O101" i="1"/>
  <c r="O100" i="1"/>
  <c r="O99" i="1"/>
  <c r="O98" i="1"/>
  <c r="O96" i="1"/>
  <c r="O93" i="1"/>
  <c r="O94" i="1"/>
  <c r="O95" i="1"/>
  <c r="O92" i="1"/>
  <c r="O91" i="1"/>
  <c r="O90" i="1"/>
  <c r="O88" i="1"/>
  <c r="O87" i="1"/>
  <c r="O86" i="1"/>
  <c r="O82" i="1"/>
  <c r="O81" i="1"/>
  <c r="O80" i="1"/>
  <c r="O77" i="1"/>
  <c r="O76" i="1"/>
  <c r="O75" i="1"/>
  <c r="O74" i="1"/>
  <c r="O73" i="1"/>
  <c r="D102" i="2"/>
  <c r="AB102" i="2" s="1"/>
  <c r="AC102" i="2" s="1"/>
  <c r="D101" i="2"/>
  <c r="AB101" i="2" s="1"/>
  <c r="AC101" i="2" s="1"/>
  <c r="D91" i="2"/>
  <c r="AB91" i="2" s="1"/>
  <c r="AC91" i="2" s="1"/>
  <c r="D90" i="2"/>
  <c r="AB90" i="2" s="1"/>
  <c r="AC90" i="2" s="1"/>
  <c r="N87" i="2"/>
  <c r="M87" i="2"/>
  <c r="N86" i="2"/>
  <c r="M86" i="2"/>
  <c r="M85" i="2"/>
  <c r="L85" i="2"/>
  <c r="S85" i="2" s="1"/>
  <c r="M84" i="2"/>
  <c r="L84" i="2"/>
  <c r="M83" i="2"/>
  <c r="L83" i="2"/>
  <c r="M82" i="2"/>
  <c r="L82" i="2"/>
  <c r="M81" i="2"/>
  <c r="L81" i="2"/>
  <c r="K81" i="2"/>
  <c r="M80" i="2"/>
  <c r="L80" i="2"/>
  <c r="K80" i="2"/>
  <c r="M79" i="2"/>
  <c r="L79" i="2"/>
  <c r="K79" i="2"/>
  <c r="J79" i="2"/>
  <c r="M78" i="2"/>
  <c r="L78" i="2"/>
  <c r="K78" i="2"/>
  <c r="J78" i="2"/>
  <c r="M77" i="2"/>
  <c r="L77" i="2"/>
  <c r="K77" i="2"/>
  <c r="J77" i="2"/>
  <c r="I77" i="2"/>
  <c r="H77" i="2"/>
  <c r="M76" i="2"/>
  <c r="L76" i="2"/>
  <c r="K76" i="2"/>
  <c r="J76" i="2"/>
  <c r="I76" i="2"/>
  <c r="M75" i="2"/>
  <c r="L75" i="2"/>
  <c r="K75" i="2"/>
  <c r="J75" i="2"/>
  <c r="I75" i="2"/>
  <c r="H75" i="2"/>
  <c r="D71" i="2"/>
  <c r="AB71" i="2" s="1"/>
  <c r="AC71" i="2" s="1"/>
  <c r="N69" i="2"/>
  <c r="M69" i="2"/>
  <c r="M68" i="2"/>
  <c r="L68" i="2"/>
  <c r="M67" i="2"/>
  <c r="L67" i="2"/>
  <c r="M66" i="2"/>
  <c r="L66" i="2"/>
  <c r="K66" i="2"/>
  <c r="N65" i="2"/>
  <c r="M65" i="2"/>
  <c r="L65" i="2"/>
  <c r="K65" i="2"/>
  <c r="J65" i="2"/>
  <c r="M64" i="2"/>
  <c r="L64" i="2"/>
  <c r="K64" i="2"/>
  <c r="J64" i="2"/>
  <c r="I64" i="2"/>
  <c r="N63" i="2"/>
  <c r="M63" i="2"/>
  <c r="L63" i="2"/>
  <c r="K63" i="2"/>
  <c r="J63" i="2"/>
  <c r="I63" i="2"/>
  <c r="H63" i="2"/>
  <c r="N62" i="2"/>
  <c r="M62" i="2"/>
  <c r="L62" i="2"/>
  <c r="K62" i="2"/>
  <c r="J62" i="2"/>
  <c r="I62" i="2"/>
  <c r="H62" i="2"/>
  <c r="G62" i="2"/>
  <c r="S62" i="2" s="1"/>
  <c r="N61" i="2"/>
  <c r="M61" i="2"/>
  <c r="L61" i="2"/>
  <c r="K61" i="2"/>
  <c r="J61" i="2"/>
  <c r="I61" i="2"/>
  <c r="H61" i="2"/>
  <c r="M60" i="2"/>
  <c r="L60" i="2"/>
  <c r="K60" i="2"/>
  <c r="J60" i="2"/>
  <c r="I60" i="2"/>
  <c r="H60" i="2"/>
  <c r="G60" i="2"/>
  <c r="F60" i="2"/>
  <c r="D45" i="2"/>
  <c r="D100" i="2" s="1"/>
  <c r="AB100" i="2" s="1"/>
  <c r="AC100" i="2" s="1"/>
  <c r="D44" i="2"/>
  <c r="D99" i="2" s="1"/>
  <c r="AB99" i="2" s="1"/>
  <c r="AC99" i="2" s="1"/>
  <c r="D43" i="2"/>
  <c r="D98" i="2" s="1"/>
  <c r="AB98" i="2" s="1"/>
  <c r="AC98" i="2" s="1"/>
  <c r="D42" i="2"/>
  <c r="D97" i="2" s="1"/>
  <c r="AB97" i="2" s="1"/>
  <c r="AC97" i="2" s="1"/>
  <c r="D34" i="2"/>
  <c r="D89" i="2" s="1"/>
  <c r="AB89" i="2" s="1"/>
  <c r="AC89" i="2" s="1"/>
  <c r="D33" i="2"/>
  <c r="D88" i="2" s="1"/>
  <c r="AB88" i="2" s="1"/>
  <c r="AC88" i="2" s="1"/>
  <c r="D32" i="2"/>
  <c r="D87" i="2" s="1"/>
  <c r="AB87" i="2" s="1"/>
  <c r="AC87" i="2" s="1"/>
  <c r="D31" i="2"/>
  <c r="D86" i="2" s="1"/>
  <c r="AB86" i="2" s="1"/>
  <c r="AC86" i="2" s="1"/>
  <c r="D30" i="2"/>
  <c r="D85" i="2" s="1"/>
  <c r="AB85" i="2" s="1"/>
  <c r="AC85" i="2" s="1"/>
  <c r="D29" i="2"/>
  <c r="D84" i="2" s="1"/>
  <c r="AB84" i="2" s="1"/>
  <c r="AC84" i="2" s="1"/>
  <c r="D28" i="2"/>
  <c r="D83" i="2" s="1"/>
  <c r="AB83" i="2" s="1"/>
  <c r="AC83" i="2" s="1"/>
  <c r="D27" i="2"/>
  <c r="D82" i="2" s="1"/>
  <c r="AB82" i="2" s="1"/>
  <c r="AC82" i="2" s="1"/>
  <c r="D26" i="2"/>
  <c r="D81" i="2" s="1"/>
  <c r="AB81" i="2" s="1"/>
  <c r="AC81" i="2" s="1"/>
  <c r="D25" i="2"/>
  <c r="D80" i="2" s="1"/>
  <c r="AB80" i="2" s="1"/>
  <c r="AC80" i="2" s="1"/>
  <c r="D24" i="2"/>
  <c r="D79" i="2" s="1"/>
  <c r="AB79" i="2" s="1"/>
  <c r="AC79" i="2" s="1"/>
  <c r="D23" i="2"/>
  <c r="D78" i="2" s="1"/>
  <c r="AB78" i="2" s="1"/>
  <c r="AC78" i="2" s="1"/>
  <c r="D22" i="2"/>
  <c r="D77" i="2" s="1"/>
  <c r="AB77" i="2" s="1"/>
  <c r="AC77" i="2" s="1"/>
  <c r="D21" i="2"/>
  <c r="D76" i="2" s="1"/>
  <c r="AB76" i="2" s="1"/>
  <c r="AC76" i="2" s="1"/>
  <c r="D20" i="2"/>
  <c r="D75" i="2" s="1"/>
  <c r="AB75" i="2" s="1"/>
  <c r="AC75" i="2" s="1"/>
  <c r="D15" i="2"/>
  <c r="D70" i="2" s="1"/>
  <c r="AB70" i="2" s="1"/>
  <c r="AC70" i="2" s="1"/>
  <c r="D14" i="2"/>
  <c r="D69" i="2" s="1"/>
  <c r="AB69" i="2" s="1"/>
  <c r="AC69" i="2" s="1"/>
  <c r="D13" i="2"/>
  <c r="D68" i="2" s="1"/>
  <c r="AB68" i="2" s="1"/>
  <c r="AC68" i="2" s="1"/>
  <c r="D12" i="2"/>
  <c r="D67" i="2" s="1"/>
  <c r="AB67" i="2" s="1"/>
  <c r="AC67" i="2" s="1"/>
  <c r="D11" i="2"/>
  <c r="D66" i="2" s="1"/>
  <c r="AB66" i="2" s="1"/>
  <c r="AC66" i="2" s="1"/>
  <c r="D10" i="2"/>
  <c r="D65" i="2" s="1"/>
  <c r="AB65" i="2" s="1"/>
  <c r="AC65" i="2" s="1"/>
  <c r="D9" i="2"/>
  <c r="D64" i="2" s="1"/>
  <c r="AB64" i="2" s="1"/>
  <c r="AC64" i="2" s="1"/>
  <c r="D8" i="2"/>
  <c r="D63" i="2" s="1"/>
  <c r="AB63" i="2" s="1"/>
  <c r="AC63" i="2" s="1"/>
  <c r="D7" i="2"/>
  <c r="D62" i="2" s="1"/>
  <c r="AB62" i="2" s="1"/>
  <c r="AC62" i="2" s="1"/>
  <c r="D6" i="2"/>
  <c r="D61" i="2" s="1"/>
  <c r="AB61" i="2" s="1"/>
  <c r="AC61" i="2" s="1"/>
  <c r="D5" i="2"/>
  <c r="D60" i="2" s="1"/>
  <c r="AB60" i="2" s="1"/>
  <c r="AC60" i="2" s="1"/>
  <c r="I113" i="1"/>
  <c r="Y113" i="1" s="1"/>
  <c r="I112" i="1"/>
  <c r="I111" i="1"/>
  <c r="Y111" i="1" s="1"/>
  <c r="I110" i="1"/>
  <c r="I109" i="1"/>
  <c r="Y109" i="1" s="1"/>
  <c r="I108" i="1"/>
  <c r="Y108" i="1" s="1"/>
  <c r="I102" i="1"/>
  <c r="Y102" i="1" s="1"/>
  <c r="I101" i="1"/>
  <c r="Y101" i="1" s="1"/>
  <c r="I100" i="1"/>
  <c r="Y100" i="1" s="1"/>
  <c r="I99" i="1"/>
  <c r="Y99" i="1" s="1"/>
  <c r="I98" i="1"/>
  <c r="Y98" i="1" s="1"/>
  <c r="I97" i="1"/>
  <c r="I96" i="1"/>
  <c r="I95" i="1"/>
  <c r="Y95" i="1" s="1"/>
  <c r="I94" i="1"/>
  <c r="Y94" i="1" s="1"/>
  <c r="I93" i="1"/>
  <c r="Y93" i="1" s="1"/>
  <c r="I92" i="1"/>
  <c r="Y92" i="1" s="1"/>
  <c r="I91" i="1"/>
  <c r="Y91" i="1" s="1"/>
  <c r="I90" i="1"/>
  <c r="I89" i="1"/>
  <c r="I88" i="1"/>
  <c r="Y88" i="1" s="1"/>
  <c r="I87" i="1"/>
  <c r="Y87" i="1" s="1"/>
  <c r="I86" i="1"/>
  <c r="Y86" i="1" s="1"/>
  <c r="I82" i="1"/>
  <c r="Y82" i="1" s="1"/>
  <c r="I81" i="1"/>
  <c r="Y81" i="1" s="1"/>
  <c r="I80" i="1"/>
  <c r="Y80" i="1" s="1"/>
  <c r="I79" i="1"/>
  <c r="Y79" i="1" s="1"/>
  <c r="I78" i="1"/>
  <c r="I77" i="1"/>
  <c r="Y77" i="1" s="1"/>
  <c r="I76" i="1"/>
  <c r="Y76" i="1" s="1"/>
  <c r="I75" i="1"/>
  <c r="Y75" i="1" s="1"/>
  <c r="I74" i="1"/>
  <c r="Y74" i="1" s="1"/>
  <c r="I73" i="1"/>
  <c r="Y73" i="1" s="1"/>
  <c r="I72" i="1"/>
  <c r="Y72" i="1" s="1"/>
  <c r="I71" i="1"/>
  <c r="F71" i="1" s="1"/>
  <c r="H60" i="1"/>
  <c r="I60" i="1" s="1"/>
  <c r="H59" i="1"/>
  <c r="I59" i="1" s="1"/>
  <c r="C46" i="2" s="1"/>
  <c r="M58" i="1"/>
  <c r="L58" i="1"/>
  <c r="H58" i="1"/>
  <c r="I58" i="1" s="1"/>
  <c r="M57" i="1"/>
  <c r="L57" i="1"/>
  <c r="H57" i="1"/>
  <c r="I57" i="1" s="1"/>
  <c r="C44" i="2" s="1"/>
  <c r="M56" i="1"/>
  <c r="L56" i="1"/>
  <c r="H56" i="1"/>
  <c r="I56" i="1" s="1"/>
  <c r="C43" i="2" s="1"/>
  <c r="M55" i="1"/>
  <c r="L55" i="1"/>
  <c r="H55" i="1"/>
  <c r="I55" i="1" s="1"/>
  <c r="C42" i="2" s="1"/>
  <c r="H49" i="1"/>
  <c r="I49" i="1" s="1"/>
  <c r="C36" i="2" s="1"/>
  <c r="H48" i="1"/>
  <c r="I48" i="1" s="1"/>
  <c r="M47" i="1"/>
  <c r="L47" i="1"/>
  <c r="H47" i="1"/>
  <c r="I47" i="1" s="1"/>
  <c r="M46" i="1"/>
  <c r="L46" i="1"/>
  <c r="H46" i="1"/>
  <c r="I46" i="1" s="1"/>
  <c r="F46" i="1" s="1"/>
  <c r="M45" i="1"/>
  <c r="L45" i="1"/>
  <c r="H45" i="1"/>
  <c r="I45" i="1" s="1"/>
  <c r="M44" i="1"/>
  <c r="L44" i="1"/>
  <c r="H44" i="1"/>
  <c r="I44" i="1" s="1"/>
  <c r="C11" i="1" s="1"/>
  <c r="M43" i="1"/>
  <c r="L43" i="1"/>
  <c r="H43" i="1"/>
  <c r="I43" i="1" s="1"/>
  <c r="C30" i="2" s="1"/>
  <c r="C85" i="2" s="1"/>
  <c r="M42" i="1"/>
  <c r="L42" i="1"/>
  <c r="H42" i="1"/>
  <c r="I42" i="1" s="1"/>
  <c r="M41" i="1"/>
  <c r="L41" i="1"/>
  <c r="H41" i="1"/>
  <c r="I41" i="1" s="1"/>
  <c r="M40" i="1"/>
  <c r="L40" i="1"/>
  <c r="H40" i="1"/>
  <c r="I40" i="1" s="1"/>
  <c r="M39" i="1"/>
  <c r="L39" i="1"/>
  <c r="H39" i="1"/>
  <c r="I39" i="1" s="1"/>
  <c r="M38" i="1"/>
  <c r="L38" i="1"/>
  <c r="H38" i="1"/>
  <c r="I38" i="1" s="1"/>
  <c r="M37" i="1"/>
  <c r="L37" i="1"/>
  <c r="H37" i="1"/>
  <c r="I37" i="1" s="1"/>
  <c r="M36" i="1"/>
  <c r="L36" i="1"/>
  <c r="H36" i="1"/>
  <c r="I36" i="1" s="1"/>
  <c r="F36" i="1" s="1"/>
  <c r="M35" i="1"/>
  <c r="L35" i="1"/>
  <c r="H35" i="1"/>
  <c r="I35" i="1" s="1"/>
  <c r="C22" i="2" s="1"/>
  <c r="C77" i="2" s="1"/>
  <c r="M34" i="1"/>
  <c r="L34" i="1"/>
  <c r="H34" i="1"/>
  <c r="I34" i="1" s="1"/>
  <c r="F34" i="1" s="1"/>
  <c r="H33" i="1"/>
  <c r="I33" i="1" s="1"/>
  <c r="H29" i="1"/>
  <c r="I29" i="1" s="1"/>
  <c r="H28" i="1"/>
  <c r="I28" i="1" s="1"/>
  <c r="C15" i="2" s="1"/>
  <c r="C70" i="2" s="1"/>
  <c r="M27" i="1"/>
  <c r="L27" i="1"/>
  <c r="H27" i="1"/>
  <c r="I27" i="1" s="1"/>
  <c r="C14" i="2" s="1"/>
  <c r="C69" i="2" s="1"/>
  <c r="M26" i="1"/>
  <c r="L26" i="1"/>
  <c r="H26" i="1"/>
  <c r="I26" i="1" s="1"/>
  <c r="M25" i="1"/>
  <c r="L25" i="1"/>
  <c r="H25" i="1"/>
  <c r="I25" i="1" s="1"/>
  <c r="M24" i="1"/>
  <c r="L24" i="1"/>
  <c r="H24" i="1"/>
  <c r="I24" i="1" s="1"/>
  <c r="C11" i="2" s="1"/>
  <c r="C66" i="2" s="1"/>
  <c r="M23" i="1"/>
  <c r="L23" i="1"/>
  <c r="H23" i="1"/>
  <c r="I23" i="1" s="1"/>
  <c r="C10" i="2" s="1"/>
  <c r="C65" i="2" s="1"/>
  <c r="M22" i="1"/>
  <c r="L22" i="1"/>
  <c r="H22" i="1"/>
  <c r="I22" i="1" s="1"/>
  <c r="C9" i="2" s="1"/>
  <c r="C64" i="2" s="1"/>
  <c r="M21" i="1"/>
  <c r="L21" i="1"/>
  <c r="H21" i="1"/>
  <c r="I21" i="1" s="1"/>
  <c r="L20" i="1"/>
  <c r="H20" i="1"/>
  <c r="I20" i="1" s="1"/>
  <c r="H19" i="1"/>
  <c r="O18" i="1"/>
  <c r="H18" i="1"/>
  <c r="F61" i="1" l="1"/>
  <c r="C48" i="2"/>
  <c r="Y90" i="1"/>
  <c r="F90" i="1"/>
  <c r="O67" i="1"/>
  <c r="M67" i="1"/>
  <c r="L67" i="1"/>
  <c r="C2" i="1" s="1"/>
  <c r="H67" i="1"/>
  <c r="S69" i="2"/>
  <c r="S66" i="2"/>
  <c r="S87" i="2"/>
  <c r="S84" i="2"/>
  <c r="Z99" i="2"/>
  <c r="N110" i="1"/>
  <c r="P110" i="1" s="1"/>
  <c r="Z98" i="2"/>
  <c r="N109" i="1"/>
  <c r="Z97" i="2"/>
  <c r="N108" i="1"/>
  <c r="P108" i="1" s="1"/>
  <c r="Z89" i="2"/>
  <c r="N100" i="1"/>
  <c r="Z88" i="2"/>
  <c r="N99" i="1"/>
  <c r="P99" i="1" s="1"/>
  <c r="Z70" i="2"/>
  <c r="AE70" i="2" s="1"/>
  <c r="N81" i="1"/>
  <c r="T87" i="2"/>
  <c r="T62" i="2"/>
  <c r="T86" i="2"/>
  <c r="S86" i="2"/>
  <c r="T83" i="2"/>
  <c r="S83" i="2"/>
  <c r="T82" i="2"/>
  <c r="S82" i="2"/>
  <c r="T81" i="2"/>
  <c r="S81" i="2"/>
  <c r="T80" i="2"/>
  <c r="S80" i="2"/>
  <c r="T79" i="2"/>
  <c r="S79" i="2"/>
  <c r="T78" i="2"/>
  <c r="S78" i="2"/>
  <c r="T77" i="2"/>
  <c r="S77" i="2"/>
  <c r="T76" i="2"/>
  <c r="S76" i="2"/>
  <c r="T75" i="2"/>
  <c r="S75" i="2"/>
  <c r="T68" i="2"/>
  <c r="S68" i="2"/>
  <c r="T67" i="2"/>
  <c r="S67" i="2"/>
  <c r="T65" i="2"/>
  <c r="S65" i="2"/>
  <c r="T64" i="2"/>
  <c r="S64" i="2"/>
  <c r="T63" i="2"/>
  <c r="S63" i="2"/>
  <c r="T61" i="2"/>
  <c r="S61" i="2"/>
  <c r="T60" i="2"/>
  <c r="Z60" i="2" s="1"/>
  <c r="S60" i="2"/>
  <c r="T69" i="2"/>
  <c r="T85" i="2"/>
  <c r="T66" i="2"/>
  <c r="T84" i="2"/>
  <c r="C13" i="1"/>
  <c r="F57" i="1"/>
  <c r="C12" i="1"/>
  <c r="C20" i="2"/>
  <c r="C75" i="2" s="1"/>
  <c r="C9" i="1"/>
  <c r="C104" i="2"/>
  <c r="AA49" i="2"/>
  <c r="C92" i="2"/>
  <c r="AA37" i="2"/>
  <c r="C101" i="2"/>
  <c r="AA46" i="2"/>
  <c r="C91" i="2"/>
  <c r="AA36" i="2"/>
  <c r="P101" i="1"/>
  <c r="N62" i="1"/>
  <c r="N49" i="1"/>
  <c r="P49" i="1" s="1"/>
  <c r="Z21" i="2"/>
  <c r="N34" i="1"/>
  <c r="P34" i="1" s="1"/>
  <c r="Z20" i="2"/>
  <c r="N33" i="1"/>
  <c r="P33" i="1" s="1"/>
  <c r="Z9" i="2"/>
  <c r="AA9" i="2" s="1"/>
  <c r="N22" i="1"/>
  <c r="P22" i="1" s="1"/>
  <c r="Z6" i="2"/>
  <c r="N19" i="1"/>
  <c r="P19" i="1" s="1"/>
  <c r="Q113" i="1"/>
  <c r="P82" i="1"/>
  <c r="P111" i="1"/>
  <c r="P112" i="1"/>
  <c r="N41" i="1"/>
  <c r="P41" i="1" s="1"/>
  <c r="N37" i="1"/>
  <c r="Q37" i="1" s="1"/>
  <c r="N45" i="1"/>
  <c r="P45" i="1" s="1"/>
  <c r="N57" i="1"/>
  <c r="P57" i="1" s="1"/>
  <c r="P115" i="1"/>
  <c r="N27" i="1"/>
  <c r="P102" i="1"/>
  <c r="N38" i="1"/>
  <c r="P38" i="1" s="1"/>
  <c r="N46" i="1"/>
  <c r="P46" i="1" s="1"/>
  <c r="N58" i="1"/>
  <c r="N20" i="1"/>
  <c r="P20" i="1" s="1"/>
  <c r="N28" i="1"/>
  <c r="P28" i="1" s="1"/>
  <c r="N39" i="1"/>
  <c r="P39" i="1" s="1"/>
  <c r="N47" i="1"/>
  <c r="P47" i="1" s="1"/>
  <c r="N59" i="1"/>
  <c r="P59" i="1" s="1"/>
  <c r="N21" i="1"/>
  <c r="P21" i="1" s="1"/>
  <c r="N29" i="1"/>
  <c r="P29" i="1" s="1"/>
  <c r="N40" i="1"/>
  <c r="P40" i="1" s="1"/>
  <c r="N48" i="1"/>
  <c r="P48" i="1" s="1"/>
  <c r="N60" i="1"/>
  <c r="P60" i="1" s="1"/>
  <c r="N42" i="1"/>
  <c r="P42" i="1" s="1"/>
  <c r="N24" i="1"/>
  <c r="P24" i="1" s="1"/>
  <c r="N35" i="1"/>
  <c r="P35" i="1" s="1"/>
  <c r="N43" i="1"/>
  <c r="P43" i="1" s="1"/>
  <c r="N25" i="1"/>
  <c r="P25" i="1" s="1"/>
  <c r="N36" i="1"/>
  <c r="P36" i="1" s="1"/>
  <c r="N44" i="1"/>
  <c r="N56" i="1"/>
  <c r="P56" i="1" s="1"/>
  <c r="N23" i="1"/>
  <c r="P23" i="1" s="1"/>
  <c r="N26" i="1"/>
  <c r="P26" i="1" s="1"/>
  <c r="P55" i="1"/>
  <c r="F115" i="1"/>
  <c r="Y115" i="1"/>
  <c r="F114" i="1"/>
  <c r="Y114" i="1"/>
  <c r="F104" i="1"/>
  <c r="Y104" i="1"/>
  <c r="I103" i="1"/>
  <c r="F51" i="1"/>
  <c r="F30" i="1"/>
  <c r="C17" i="2"/>
  <c r="C72" i="2" s="1"/>
  <c r="F112" i="1"/>
  <c r="Y112" i="1"/>
  <c r="F110" i="1"/>
  <c r="Y110" i="1"/>
  <c r="F97" i="1"/>
  <c r="Y97" i="1"/>
  <c r="F96" i="1"/>
  <c r="Y96" i="1"/>
  <c r="F89" i="1"/>
  <c r="Y89" i="1"/>
  <c r="F78" i="1"/>
  <c r="Y78" i="1"/>
  <c r="O83" i="1"/>
  <c r="N61" i="1"/>
  <c r="N51" i="1"/>
  <c r="N50" i="1"/>
  <c r="Z17" i="2"/>
  <c r="N30" i="1"/>
  <c r="Y83" i="1"/>
  <c r="AA30" i="2"/>
  <c r="AA22" i="2"/>
  <c r="AA15" i="2"/>
  <c r="AA14" i="2"/>
  <c r="AA11" i="2"/>
  <c r="AA10" i="2"/>
  <c r="N18" i="1"/>
  <c r="S82" i="1"/>
  <c r="Q82" i="1"/>
  <c r="Q55" i="1"/>
  <c r="S55" i="1"/>
  <c r="C12" i="2"/>
  <c r="F25" i="1"/>
  <c r="I18" i="1"/>
  <c r="F76" i="1"/>
  <c r="F98" i="1"/>
  <c r="C8" i="2"/>
  <c r="F21" i="1"/>
  <c r="F83" i="1"/>
  <c r="F86" i="1"/>
  <c r="F81" i="1"/>
  <c r="F74" i="1"/>
  <c r="F72" i="1"/>
  <c r="Y71" i="1"/>
  <c r="F113" i="1"/>
  <c r="F111" i="1"/>
  <c r="F109" i="1"/>
  <c r="F108" i="1"/>
  <c r="F102" i="1"/>
  <c r="F101" i="1"/>
  <c r="F100" i="1"/>
  <c r="F99" i="1"/>
  <c r="F95" i="1"/>
  <c r="F94" i="1"/>
  <c r="F93" i="1"/>
  <c r="F92" i="1"/>
  <c r="F91" i="1"/>
  <c r="F88" i="1"/>
  <c r="F87" i="1"/>
  <c r="F82" i="1"/>
  <c r="F80" i="1"/>
  <c r="F79" i="1"/>
  <c r="F77" i="1"/>
  <c r="F75" i="1"/>
  <c r="F73" i="1"/>
  <c r="C47" i="2"/>
  <c r="AA47" i="2" s="1"/>
  <c r="F60" i="1"/>
  <c r="F55" i="1"/>
  <c r="F47" i="1"/>
  <c r="C34" i="2"/>
  <c r="C29" i="2"/>
  <c r="F42" i="1"/>
  <c r="F39" i="1"/>
  <c r="C26" i="2"/>
  <c r="F29" i="1"/>
  <c r="C16" i="2"/>
  <c r="F26" i="1"/>
  <c r="C13" i="2"/>
  <c r="C7" i="2"/>
  <c r="F20" i="1"/>
  <c r="C28" i="2"/>
  <c r="F41" i="1"/>
  <c r="F23" i="1"/>
  <c r="F33" i="1"/>
  <c r="C35" i="2"/>
  <c r="F48" i="1"/>
  <c r="F44" i="1"/>
  <c r="C31" i="2"/>
  <c r="F58" i="1"/>
  <c r="C45" i="2"/>
  <c r="AA45" i="2" s="1"/>
  <c r="C21" i="2"/>
  <c r="I19" i="1"/>
  <c r="C33" i="2"/>
  <c r="AA33" i="2" s="1"/>
  <c r="AA44" i="2"/>
  <c r="F56" i="1"/>
  <c r="AA43" i="2"/>
  <c r="C27" i="2"/>
  <c r="F40" i="1"/>
  <c r="F38" i="1"/>
  <c r="C25" i="2"/>
  <c r="AA25" i="2" s="1"/>
  <c r="F49" i="1"/>
  <c r="F28" i="1"/>
  <c r="F22" i="1"/>
  <c r="F24" i="1"/>
  <c r="F59" i="1"/>
  <c r="C23" i="2"/>
  <c r="F43" i="1"/>
  <c r="C32" i="2"/>
  <c r="F45" i="1"/>
  <c r="O71" i="1"/>
  <c r="O120" i="1" s="1"/>
  <c r="F35" i="1"/>
  <c r="C24" i="2"/>
  <c r="F37" i="1"/>
  <c r="F27" i="1"/>
  <c r="Z5" i="2"/>
  <c r="C103" i="2" l="1"/>
  <c r="AA48" i="2"/>
  <c r="N67" i="1"/>
  <c r="C4" i="1" s="1"/>
  <c r="C6" i="1" s="1"/>
  <c r="I67" i="1"/>
  <c r="C5" i="2"/>
  <c r="F18" i="1"/>
  <c r="Z87" i="2"/>
  <c r="N98" i="1"/>
  <c r="Z62" i="2"/>
  <c r="N73" i="1"/>
  <c r="Z86" i="2"/>
  <c r="N97" i="1"/>
  <c r="Z83" i="2"/>
  <c r="N94" i="1"/>
  <c r="P94" i="1" s="1"/>
  <c r="Z82" i="2"/>
  <c r="N93" i="1"/>
  <c r="Z81" i="2"/>
  <c r="N92" i="1"/>
  <c r="N91" i="1"/>
  <c r="Z80" i="2"/>
  <c r="N90" i="1"/>
  <c r="Z79" i="2"/>
  <c r="Z78" i="2"/>
  <c r="N89" i="1"/>
  <c r="N88" i="1"/>
  <c r="P88" i="1" s="1"/>
  <c r="Z77" i="2"/>
  <c r="N87" i="1"/>
  <c r="P87" i="1" s="1"/>
  <c r="Z76" i="2"/>
  <c r="N86" i="1"/>
  <c r="P86" i="1" s="1"/>
  <c r="Z75" i="2"/>
  <c r="N79" i="1"/>
  <c r="Z68" i="2"/>
  <c r="N78" i="1"/>
  <c r="Z67" i="2"/>
  <c r="Z65" i="2"/>
  <c r="N76" i="1"/>
  <c r="P76" i="1" s="1"/>
  <c r="Z64" i="2"/>
  <c r="N75" i="1"/>
  <c r="N74" i="1"/>
  <c r="P74" i="1" s="1"/>
  <c r="Z63" i="2"/>
  <c r="N72" i="1"/>
  <c r="Z61" i="2"/>
  <c r="P100" i="1"/>
  <c r="Q100" i="1"/>
  <c r="S100" i="1"/>
  <c r="P81" i="1"/>
  <c r="S81" i="1"/>
  <c r="Q81" i="1"/>
  <c r="N80" i="1"/>
  <c r="P80" i="1" s="1"/>
  <c r="Z69" i="2"/>
  <c r="N96" i="1"/>
  <c r="P96" i="1" s="1"/>
  <c r="Z85" i="2"/>
  <c r="N77" i="1"/>
  <c r="P77" i="1" s="1"/>
  <c r="Z66" i="2"/>
  <c r="N95" i="1"/>
  <c r="Z84" i="2"/>
  <c r="AE101" i="2"/>
  <c r="AE104" i="2"/>
  <c r="AA104" i="2"/>
  <c r="AA20" i="2"/>
  <c r="AA91" i="2"/>
  <c r="AE91" i="2"/>
  <c r="C93" i="2"/>
  <c r="AA38" i="2"/>
  <c r="C97" i="2"/>
  <c r="AA42" i="2"/>
  <c r="P109" i="1"/>
  <c r="Q109" i="1"/>
  <c r="S109" i="1"/>
  <c r="P62" i="1"/>
  <c r="Q62" i="1"/>
  <c r="S62" i="1"/>
  <c r="P27" i="1"/>
  <c r="S27" i="1"/>
  <c r="P58" i="1"/>
  <c r="T58" i="1" s="1"/>
  <c r="Q58" i="1"/>
  <c r="P44" i="1"/>
  <c r="S44" i="1"/>
  <c r="Q44" i="1"/>
  <c r="P83" i="1"/>
  <c r="R83" i="1" s="1"/>
  <c r="S113" i="1"/>
  <c r="P113" i="1"/>
  <c r="S115" i="1"/>
  <c r="AA70" i="2"/>
  <c r="Q115" i="1"/>
  <c r="P37" i="1"/>
  <c r="S58" i="1"/>
  <c r="AA101" i="2"/>
  <c r="S37" i="1"/>
  <c r="P61" i="1"/>
  <c r="Q61" i="1"/>
  <c r="S61" i="1"/>
  <c r="S51" i="1"/>
  <c r="Q51" i="1"/>
  <c r="P51" i="1"/>
  <c r="T51" i="1" s="1"/>
  <c r="P50" i="1"/>
  <c r="R50" i="1" s="1"/>
  <c r="Q50" i="1"/>
  <c r="S50" i="1"/>
  <c r="Q30" i="1"/>
  <c r="S30" i="1"/>
  <c r="P30" i="1"/>
  <c r="R30" i="1" s="1"/>
  <c r="S18" i="1"/>
  <c r="C10" i="1"/>
  <c r="C14" i="1" s="1"/>
  <c r="Y103" i="1"/>
  <c r="F103" i="1"/>
  <c r="AA17" i="2"/>
  <c r="Q114" i="1"/>
  <c r="P114" i="1"/>
  <c r="S114" i="1"/>
  <c r="Q104" i="1"/>
  <c r="P104" i="1"/>
  <c r="S104" i="1"/>
  <c r="P103" i="1"/>
  <c r="R103" i="1" s="1"/>
  <c r="Q103" i="1"/>
  <c r="S103" i="1"/>
  <c r="AA92" i="2"/>
  <c r="AE92" i="2"/>
  <c r="AE72" i="2"/>
  <c r="AA72" i="2"/>
  <c r="R115" i="1"/>
  <c r="T115" i="1"/>
  <c r="P18" i="1"/>
  <c r="Q18" i="1"/>
  <c r="C67" i="2"/>
  <c r="AA12" i="2"/>
  <c r="C63" i="2"/>
  <c r="AA8" i="2"/>
  <c r="C102" i="2"/>
  <c r="C89" i="2"/>
  <c r="AA34" i="2"/>
  <c r="C84" i="2"/>
  <c r="AA29" i="2"/>
  <c r="C81" i="2"/>
  <c r="AA26" i="2"/>
  <c r="C71" i="2"/>
  <c r="AA16" i="2"/>
  <c r="C68" i="2"/>
  <c r="AA13" i="2"/>
  <c r="C62" i="2"/>
  <c r="AA7" i="2"/>
  <c r="C83" i="2"/>
  <c r="AA28" i="2"/>
  <c r="C90" i="2"/>
  <c r="AA35" i="2"/>
  <c r="C86" i="2"/>
  <c r="AA31" i="2"/>
  <c r="C76" i="2"/>
  <c r="AA21" i="2"/>
  <c r="C99" i="2"/>
  <c r="C98" i="2"/>
  <c r="C82" i="2"/>
  <c r="AA27" i="2"/>
  <c r="C78" i="2"/>
  <c r="AA23" i="2"/>
  <c r="C87" i="2"/>
  <c r="AA32" i="2"/>
  <c r="C79" i="2"/>
  <c r="AA24" i="2"/>
  <c r="S112" i="1"/>
  <c r="Q112" i="1"/>
  <c r="T82" i="1"/>
  <c r="R82" i="1"/>
  <c r="S111" i="1"/>
  <c r="Q111" i="1"/>
  <c r="S110" i="1"/>
  <c r="Q110" i="1"/>
  <c r="S108" i="1"/>
  <c r="Q108" i="1"/>
  <c r="S101" i="1"/>
  <c r="Q101" i="1"/>
  <c r="Q60" i="1"/>
  <c r="S60" i="1"/>
  <c r="S59" i="1"/>
  <c r="Q59" i="1"/>
  <c r="S56" i="1"/>
  <c r="Q56" i="1"/>
  <c r="S49" i="1"/>
  <c r="Q49" i="1"/>
  <c r="Q48" i="1"/>
  <c r="S48" i="1"/>
  <c r="Q47" i="1"/>
  <c r="S47" i="1"/>
  <c r="Q46" i="1"/>
  <c r="S46" i="1"/>
  <c r="T49" i="1"/>
  <c r="R49" i="1"/>
  <c r="R47" i="1"/>
  <c r="T47" i="1"/>
  <c r="R46" i="1"/>
  <c r="T46" i="1"/>
  <c r="S45" i="1"/>
  <c r="Q45" i="1"/>
  <c r="S43" i="1"/>
  <c r="Q43" i="1"/>
  <c r="S41" i="1"/>
  <c r="Q41" i="1"/>
  <c r="S39" i="1"/>
  <c r="Q39" i="1"/>
  <c r="S38" i="1"/>
  <c r="Q38" i="1"/>
  <c r="S35" i="1"/>
  <c r="Q35" i="1"/>
  <c r="S34" i="1"/>
  <c r="Q34" i="1"/>
  <c r="R55" i="1"/>
  <c r="T55" i="1"/>
  <c r="Q36" i="1"/>
  <c r="S36" i="1"/>
  <c r="S40" i="1"/>
  <c r="Q40" i="1"/>
  <c r="S57" i="1"/>
  <c r="Q57" i="1"/>
  <c r="Q102" i="1"/>
  <c r="S102" i="1"/>
  <c r="Q42" i="1"/>
  <c r="S42" i="1"/>
  <c r="S33" i="1"/>
  <c r="Q33" i="1"/>
  <c r="C100" i="2"/>
  <c r="Q25" i="1"/>
  <c r="S25" i="1"/>
  <c r="Q26" i="1"/>
  <c r="S26" i="1"/>
  <c r="Q20" i="1"/>
  <c r="S20" i="1"/>
  <c r="Q19" i="1"/>
  <c r="Q29" i="1"/>
  <c r="S29" i="1"/>
  <c r="Q27" i="1"/>
  <c r="Q23" i="1"/>
  <c r="S23" i="1"/>
  <c r="Q22" i="1"/>
  <c r="S22" i="1"/>
  <c r="Q21" i="1"/>
  <c r="S21" i="1"/>
  <c r="Q28" i="1"/>
  <c r="S28" i="1"/>
  <c r="F19" i="1"/>
  <c r="C6" i="2"/>
  <c r="S24" i="1"/>
  <c r="Q24" i="1"/>
  <c r="C80" i="2"/>
  <c r="C88" i="2"/>
  <c r="S19" i="1"/>
  <c r="P72" i="1" l="1"/>
  <c r="N120" i="1"/>
  <c r="AA103" i="2"/>
  <c r="AE103" i="2"/>
  <c r="P67" i="1"/>
  <c r="C5" i="1" s="1"/>
  <c r="AA5" i="2"/>
  <c r="C60" i="2"/>
  <c r="AA75" i="2"/>
  <c r="AE75" i="2"/>
  <c r="AA77" i="2"/>
  <c r="AE77" i="2"/>
  <c r="AA64" i="2"/>
  <c r="AE64" i="2"/>
  <c r="S75" i="1"/>
  <c r="Q75" i="1"/>
  <c r="P75" i="1"/>
  <c r="AE69" i="2"/>
  <c r="AA69" i="2"/>
  <c r="AE85" i="2"/>
  <c r="AA85" i="2"/>
  <c r="AA66" i="2"/>
  <c r="AE66" i="2"/>
  <c r="P98" i="1"/>
  <c r="S98" i="1"/>
  <c r="Q98" i="1"/>
  <c r="P73" i="1"/>
  <c r="Q73" i="1"/>
  <c r="S73" i="1"/>
  <c r="P97" i="1"/>
  <c r="S97" i="1"/>
  <c r="Q97" i="1"/>
  <c r="P93" i="1"/>
  <c r="S93" i="1"/>
  <c r="Q93" i="1"/>
  <c r="P92" i="1"/>
  <c r="Q92" i="1"/>
  <c r="S92" i="1"/>
  <c r="P91" i="1"/>
  <c r="Q91" i="1"/>
  <c r="S91" i="1"/>
  <c r="P90" i="1"/>
  <c r="S90" i="1"/>
  <c r="Q90" i="1"/>
  <c r="P89" i="1"/>
  <c r="S89" i="1"/>
  <c r="Q89" i="1"/>
  <c r="P79" i="1"/>
  <c r="S79" i="1"/>
  <c r="Q79" i="1"/>
  <c r="P78" i="1"/>
  <c r="S78" i="1"/>
  <c r="Q78" i="1"/>
  <c r="T100" i="1"/>
  <c r="R100" i="1"/>
  <c r="T81" i="1"/>
  <c r="R81" i="1"/>
  <c r="P95" i="1"/>
  <c r="S95" i="1"/>
  <c r="Q95" i="1"/>
  <c r="AA93" i="2"/>
  <c r="AE93" i="2"/>
  <c r="AE97" i="2"/>
  <c r="AA97" i="2"/>
  <c r="AA65" i="2"/>
  <c r="AE65" i="2"/>
  <c r="R61" i="1"/>
  <c r="T61" i="1"/>
  <c r="R104" i="1"/>
  <c r="T104" i="1"/>
  <c r="R62" i="1"/>
  <c r="T62" i="1"/>
  <c r="R58" i="1"/>
  <c r="R109" i="1"/>
  <c r="T109" i="1"/>
  <c r="R37" i="1"/>
  <c r="T37" i="1"/>
  <c r="R114" i="1"/>
  <c r="T114" i="1"/>
  <c r="T44" i="1"/>
  <c r="R44" i="1"/>
  <c r="R113" i="1"/>
  <c r="T113" i="1"/>
  <c r="Q83" i="1"/>
  <c r="S83" i="1"/>
  <c r="T30" i="1"/>
  <c r="T50" i="1"/>
  <c r="R51" i="1"/>
  <c r="T103" i="1"/>
  <c r="T83" i="1"/>
  <c r="AA6" i="2"/>
  <c r="AE67" i="2"/>
  <c r="AA67" i="2"/>
  <c r="AA63" i="2"/>
  <c r="AE63" i="2"/>
  <c r="AA102" i="2"/>
  <c r="AE102" i="2"/>
  <c r="AA89" i="2"/>
  <c r="AE89" i="2"/>
  <c r="AE84" i="2"/>
  <c r="AA84" i="2"/>
  <c r="AE81" i="2"/>
  <c r="AA81" i="2"/>
  <c r="AA71" i="2"/>
  <c r="AE71" i="2"/>
  <c r="AE68" i="2"/>
  <c r="AA68" i="2"/>
  <c r="AA62" i="2"/>
  <c r="AE62" i="2"/>
  <c r="AE83" i="2"/>
  <c r="AA83" i="2"/>
  <c r="AE90" i="2"/>
  <c r="AA90" i="2"/>
  <c r="AE86" i="2"/>
  <c r="AA86" i="2"/>
  <c r="AE76" i="2"/>
  <c r="AA76" i="2"/>
  <c r="AA99" i="2"/>
  <c r="AE99" i="2"/>
  <c r="AA98" i="2"/>
  <c r="AE98" i="2"/>
  <c r="AA82" i="2"/>
  <c r="AE82" i="2"/>
  <c r="AA78" i="2"/>
  <c r="AE78" i="2"/>
  <c r="AE87" i="2"/>
  <c r="AA87" i="2"/>
  <c r="AA79" i="2"/>
  <c r="AE79" i="2"/>
  <c r="AE100" i="2"/>
  <c r="AA100" i="2"/>
  <c r="AA80" i="2"/>
  <c r="AE80" i="2"/>
  <c r="AE88" i="2"/>
  <c r="AA88" i="2"/>
  <c r="T18" i="1"/>
  <c r="R18" i="1"/>
  <c r="S96" i="1"/>
  <c r="Q96" i="1"/>
  <c r="S86" i="1"/>
  <c r="Q86" i="1"/>
  <c r="S72" i="1"/>
  <c r="Q72" i="1"/>
  <c r="Q94" i="1"/>
  <c r="S94" i="1"/>
  <c r="Q80" i="1"/>
  <c r="S80" i="1"/>
  <c r="Q99" i="1"/>
  <c r="S99" i="1"/>
  <c r="T60" i="1"/>
  <c r="R60" i="1"/>
  <c r="R94" i="1"/>
  <c r="T94" i="1"/>
  <c r="R80" i="1"/>
  <c r="T80" i="1"/>
  <c r="R99" i="1"/>
  <c r="T99" i="1"/>
  <c r="R56" i="1"/>
  <c r="T56" i="1"/>
  <c r="R48" i="1"/>
  <c r="T48" i="1"/>
  <c r="T112" i="1"/>
  <c r="R112" i="1"/>
  <c r="Q77" i="1"/>
  <c r="S77" i="1"/>
  <c r="Q76" i="1"/>
  <c r="S76" i="1"/>
  <c r="T111" i="1"/>
  <c r="R111" i="1"/>
  <c r="T110" i="1"/>
  <c r="R110" i="1"/>
  <c r="T108" i="1"/>
  <c r="R108" i="1"/>
  <c r="T101" i="1"/>
  <c r="R101" i="1"/>
  <c r="T59" i="1"/>
  <c r="R59" i="1"/>
  <c r="R45" i="1"/>
  <c r="T45" i="1"/>
  <c r="R43" i="1"/>
  <c r="T43" i="1"/>
  <c r="R41" i="1"/>
  <c r="T41" i="1"/>
  <c r="R39" i="1"/>
  <c r="T39" i="1"/>
  <c r="T38" i="1"/>
  <c r="R38" i="1"/>
  <c r="T35" i="1"/>
  <c r="R35" i="1"/>
  <c r="T34" i="1"/>
  <c r="R34" i="1"/>
  <c r="Q88" i="1"/>
  <c r="S88" i="1"/>
  <c r="Q87" i="1"/>
  <c r="S87" i="1"/>
  <c r="T57" i="1"/>
  <c r="R57" i="1"/>
  <c r="S74" i="1"/>
  <c r="Q74" i="1"/>
  <c r="R42" i="1"/>
  <c r="T42" i="1"/>
  <c r="T40" i="1"/>
  <c r="R40" i="1"/>
  <c r="R102" i="1"/>
  <c r="T102" i="1"/>
  <c r="R33" i="1"/>
  <c r="T33" i="1"/>
  <c r="T36" i="1"/>
  <c r="R36" i="1"/>
  <c r="T27" i="1"/>
  <c r="R27" i="1"/>
  <c r="T23" i="1"/>
  <c r="R23" i="1"/>
  <c r="T26" i="1"/>
  <c r="R26" i="1"/>
  <c r="T25" i="1"/>
  <c r="R25" i="1"/>
  <c r="R20" i="1"/>
  <c r="T20" i="1"/>
  <c r="T19" i="1"/>
  <c r="R19" i="1"/>
  <c r="T29" i="1"/>
  <c r="R29" i="1"/>
  <c r="R22" i="1"/>
  <c r="T22" i="1"/>
  <c r="T21" i="1"/>
  <c r="R21" i="1"/>
  <c r="S71" i="1"/>
  <c r="Q71" i="1"/>
  <c r="P71" i="1"/>
  <c r="T24" i="1"/>
  <c r="R24" i="1"/>
  <c r="T28" i="1"/>
  <c r="R28" i="1"/>
  <c r="C61" i="2"/>
  <c r="P120" i="1" l="1"/>
  <c r="AA54" i="2"/>
  <c r="AA60" i="2"/>
  <c r="AE60" i="2"/>
  <c r="T93" i="1"/>
  <c r="R93" i="1"/>
  <c r="R92" i="1"/>
  <c r="T92" i="1"/>
  <c r="T91" i="1"/>
  <c r="R91" i="1"/>
  <c r="T90" i="1"/>
  <c r="R90" i="1"/>
  <c r="T89" i="1"/>
  <c r="R89" i="1"/>
  <c r="T79" i="1"/>
  <c r="R79" i="1"/>
  <c r="T78" i="1"/>
  <c r="R78" i="1"/>
  <c r="T75" i="1"/>
  <c r="R75" i="1"/>
  <c r="R98" i="1"/>
  <c r="T98" i="1"/>
  <c r="T73" i="1"/>
  <c r="R73" i="1"/>
  <c r="R97" i="1"/>
  <c r="T97" i="1"/>
  <c r="T95" i="1"/>
  <c r="R95" i="1"/>
  <c r="AA61" i="2"/>
  <c r="AE61" i="2"/>
  <c r="R72" i="1"/>
  <c r="T72" i="1"/>
  <c r="T96" i="1"/>
  <c r="R96" i="1"/>
  <c r="T86" i="1"/>
  <c r="R86" i="1"/>
  <c r="T77" i="1"/>
  <c r="R77" i="1"/>
  <c r="T76" i="1"/>
  <c r="R76" i="1"/>
  <c r="T88" i="1"/>
  <c r="R88" i="1"/>
  <c r="T87" i="1"/>
  <c r="R87" i="1"/>
  <c r="T74" i="1"/>
  <c r="R74" i="1"/>
  <c r="AE109" i="2"/>
  <c r="R71" i="1"/>
  <c r="T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17" authorId="0" shapeId="0" xr:uid="{00000000-0006-0000-0000-000004000000}">
      <text>
        <r>
          <rPr>
            <sz val="12"/>
            <color theme="1"/>
            <rFont val="Calibri"/>
            <family val="2"/>
            <scheme val="minor"/>
          </rPr>
          <t>======
ID#AAABl1tfB_M
Rhodel Magat    (2025-06-20 01:19:06)
Current FV</t>
        </r>
      </text>
    </comment>
    <comment ref="M17" authorId="0" shapeId="0" xr:uid="{00000000-0006-0000-0000-000001000000}">
      <text>
        <r>
          <rPr>
            <sz val="12"/>
            <color theme="1"/>
            <rFont val="Calibri"/>
            <family val="2"/>
            <scheme val="minor"/>
          </rPr>
          <t>======
ID#AAABl1tfB_U
Rhodel Magat    (2025-06-20 01:19:06)
Current # of Accts</t>
        </r>
      </text>
    </comment>
    <comment ref="L70" authorId="0" shapeId="0" xr:uid="{00000000-0006-0000-0000-000003000000}">
      <text>
        <r>
          <rPr>
            <sz val="12"/>
            <color theme="1"/>
            <rFont val="Calibri"/>
            <family val="2"/>
            <scheme val="minor"/>
          </rPr>
          <t>======
ID#AAABl1tfB_I
Rhodel Magat    (2025-06-20 01:19:06)
Current FV</t>
        </r>
      </text>
    </comment>
    <comment ref="M70" authorId="0" shapeId="0" xr:uid="{00000000-0006-0000-0000-000002000000}">
      <text>
        <r>
          <rPr>
            <sz val="12"/>
            <color theme="1"/>
            <rFont val="Calibri"/>
            <family val="2"/>
            <scheme val="minor"/>
          </rPr>
          <t>======
ID#AAABl1tfB_Q
Rhodel Magat    (2025-06-20 01:19:06)
Current # of Accts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2c6mSl7TCDlqleQFXtjoO/LqpS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tc={F471591A-FA13-4DE2-844A-C0284D7D5029}</author>
    <author>tc={D9B2AAE7-572F-4C8C-82B3-57805E730FD9}</author>
    <author>tc={66F3F54A-AD4D-4860-9667-6497D4A6082C}</author>
    <author>tc={6AF03199-D9DB-4D38-9D2F-95074F81BD34}</author>
    <author>tc={25F8A280-36A4-4AEB-95C4-11221415A5CE}</author>
    <author>tc={0D9C884B-500A-4EB1-A778-B1F554B89ED4}</author>
    <author>tc={F2BD0E69-AF88-4B87-8BAE-F9BD487D43FC}</author>
  </authors>
  <commentList>
    <comment ref="B58" authorId="0" shapeId="0" xr:uid="{00000000-0006-0000-0100-000001000000}">
      <text>
        <r>
          <rPr>
            <sz val="12"/>
            <color theme="1"/>
            <rFont val="Calibri"/>
            <family val="2"/>
            <scheme val="minor"/>
          </rPr>
          <t>Updated the net collections based on the amount that cleared the bank less the management fees
======</t>
        </r>
      </text>
    </comment>
    <comment ref="K60" authorId="0" shapeId="0" xr:uid="{00000000-0006-0000-0100-000002000000}">
      <text>
        <r>
          <rPr>
            <sz val="12"/>
            <color theme="1"/>
            <rFont val="Calibri"/>
            <family val="2"/>
            <scheme val="minor"/>
          </rPr>
          <t>Refer to Updated June Remit Report for the net collections
======</t>
        </r>
      </text>
    </comment>
    <comment ref="K61" authorId="0" shapeId="0" xr:uid="{00000000-0006-0000-0100-000003000000}">
      <text>
        <r>
          <rPr>
            <sz val="12"/>
            <color theme="1"/>
            <rFont val="Calibri"/>
            <family val="2"/>
            <scheme val="minor"/>
          </rPr>
          <t>Refer to Updated June Remit Report for the net collections
======</t>
        </r>
      </text>
    </comment>
    <comment ref="K75" authorId="0" shapeId="0" xr:uid="{00000000-0006-0000-0100-000004000000}">
      <text>
        <r>
          <rPr>
            <sz val="12"/>
            <color theme="1"/>
            <rFont val="Calibri"/>
            <family val="2"/>
            <scheme val="minor"/>
          </rPr>
          <t>Refer to Updated June Remit Report for the net collections
======</t>
        </r>
      </text>
    </comment>
    <comment ref="M86" authorId="1" shapeId="0" xr:uid="{F471591A-FA13-4DE2-844A-C0284D7D5029}">
      <text>
        <t>[Threaded comment]
Your version of Excel allows you to read this threaded comment; however, any edits to it will get removed if the file is opened in a newer version of Excel. Learn more: https://go.microsoft.com/fwlink/?linkid=870924
Comment:
    Deducted ($360/2) under-investment from the Italians</t>
      </text>
    </comment>
    <comment ref="P86" authorId="2" shapeId="0" xr:uid="{D9B2AAE7-572F-4C8C-82B3-57805E730FD9}">
      <text>
        <t>[Threaded comment]
Your version of Excel allows you to read this threaded comment; however, any edits to it will get removed if the file is opened in a newer version of Excel. Learn more: https://go.microsoft.com/fwlink/?linkid=870924
Comment:
    Deducted ($300/2) for the $100 bank maintaining balance from the three Italian Investors</t>
      </text>
    </comment>
    <comment ref="M87" authorId="3" shapeId="0" xr:uid="{66F3F54A-AD4D-4860-9667-6497D4A6082C}">
      <text>
        <t>[Threaded comment]
Your version of Excel allows you to read this threaded comment; however, any edits to it will get removed if the file is opened in a newer version of Excel. Learn more: https://go.microsoft.com/fwlink/?linkid=870924
Comment:
    Deducted ($360/2) under-investment from the Italians</t>
      </text>
    </comment>
    <comment ref="P87" authorId="4" shapeId="0" xr:uid="{6AF03199-D9DB-4D38-9D2F-95074F81BD34}">
      <text>
        <t>[Threaded comment]
Your version of Excel allows you to read this threaded comment; however, any edits to it will get removed if the file is opened in a newer version of Excel. Learn more: https://go.microsoft.com/fwlink/?linkid=870924
Comment:
    Deducted ($300/2) for the $100 bank maintaining balance from the three Italian Investors</t>
      </text>
    </comment>
    <comment ref="O88" authorId="5" shapeId="0" xr:uid="{25F8A280-36A4-4AEB-95C4-11221415A5CE}">
      <text>
        <t>[Threaded comment]
Your version of Excel allows you to read this threaded comment; however, any edits to it will get removed if the file is opened in a newer version of Excel. Learn more: https://go.microsoft.com/fwlink/?linkid=870924
Comment:
    Deducted $329.99 under-investment from the Italians</t>
      </text>
    </comment>
    <comment ref="O99" authorId="6" shapeId="0" xr:uid="{0D9C884B-500A-4EB1-A778-B1F554B89ED4}">
      <text>
        <t>[Threaded comment]
Your version of Excel allows you to read this threaded comment; however, any edits to it will get removed if the file is opened in a newer version of Excel. Learn more: https://go.microsoft.com/fwlink/?linkid=870924
Comment:
    Deducted $18 under-investment from NL</t>
      </text>
    </comment>
    <comment ref="P99" authorId="7" shapeId="0" xr:uid="{F2BD0E69-AF88-4B87-8BAE-F9BD487D43FC}">
      <text>
        <t>[Threaded comment]
Your version of Excel allows you to read this threaded comment; however, any edits to it will get removed if the file is opened in a newer version of Excel. Learn more: https://go.microsoft.com/fwlink/?linkid=870924
Comment:
    Deducted $100 for the bank maintaining balance of NL Trust</t>
      </text>
    </comment>
  </commentList>
</comments>
</file>

<file path=xl/sharedStrings.xml><?xml version="1.0" encoding="utf-8"?>
<sst xmlns="http://schemas.openxmlformats.org/spreadsheetml/2006/main" count="481" uniqueCount="130">
  <si>
    <t>Total Remaining Face Value</t>
  </si>
  <si>
    <t>Total Purchases to Date</t>
  </si>
  <si>
    <t>Total in-house as of today</t>
  </si>
  <si>
    <t xml:space="preserve">  Plus Futures</t>
  </si>
  <si>
    <t>Last Week: (EOM + In-House)</t>
  </si>
  <si>
    <t>Original Values at Purchase</t>
  </si>
  <si>
    <t>Current Values</t>
  </si>
  <si>
    <t>Gross Collections</t>
  </si>
  <si>
    <t>Gross Liquidation Rates</t>
  </si>
  <si>
    <t xml:space="preserve">Gross Collections/Purchase Price </t>
  </si>
  <si>
    <t>Portfolio Code</t>
  </si>
  <si>
    <t>Purchase Date</t>
  </si>
  <si>
    <t>Inventory Type</t>
  </si>
  <si>
    <t>Investor</t>
  </si>
  <si>
    <t>Price</t>
  </si>
  <si>
    <t>Purchase Price</t>
  </si>
  <si>
    <t>Commission</t>
  </si>
  <si>
    <t>Total Purchase Price</t>
  </si>
  <si>
    <t>Face Value</t>
  </si>
  <si>
    <t xml:space="preserve"># of Accts </t>
  </si>
  <si>
    <t># of Accts</t>
  </si>
  <si>
    <t>Posted $</t>
  </si>
  <si>
    <t>Futures</t>
  </si>
  <si>
    <t>Posted + Futures</t>
  </si>
  <si>
    <t>FinTech 1</t>
  </si>
  <si>
    <t>FE6001</t>
  </si>
  <si>
    <t>1401 (Aged)</t>
  </si>
  <si>
    <t>FE6002</t>
  </si>
  <si>
    <t>FE6003</t>
  </si>
  <si>
    <t>NEXA001</t>
  </si>
  <si>
    <t>NEXA002</t>
  </si>
  <si>
    <t>NEXA003</t>
  </si>
  <si>
    <t>NEXA004</t>
  </si>
  <si>
    <t>FE6008</t>
  </si>
  <si>
    <t>NEXA005</t>
  </si>
  <si>
    <t>NEXA006</t>
  </si>
  <si>
    <t>NEXA007</t>
  </si>
  <si>
    <t>FinTech 2</t>
  </si>
  <si>
    <t>Source001</t>
  </si>
  <si>
    <t>1502A</t>
  </si>
  <si>
    <t>Source002</t>
  </si>
  <si>
    <t>1502B</t>
  </si>
  <si>
    <t>FE6004</t>
  </si>
  <si>
    <t>1503A</t>
  </si>
  <si>
    <t>Source003</t>
  </si>
  <si>
    <t>1503B</t>
  </si>
  <si>
    <t>FE6005</t>
  </si>
  <si>
    <t>1504A</t>
  </si>
  <si>
    <t>FE6006</t>
  </si>
  <si>
    <t>1504B</t>
  </si>
  <si>
    <t>FE6007</t>
  </si>
  <si>
    <t>1505A</t>
  </si>
  <si>
    <t>FUND1-001</t>
  </si>
  <si>
    <t>1505B</t>
  </si>
  <si>
    <t>FUND1-002</t>
  </si>
  <si>
    <t>1506A</t>
  </si>
  <si>
    <t>Source004</t>
  </si>
  <si>
    <t>1506B</t>
  </si>
  <si>
    <t>FE6009</t>
  </si>
  <si>
    <t>1507A</t>
  </si>
  <si>
    <t>ITALY001</t>
  </si>
  <si>
    <t>1507B</t>
  </si>
  <si>
    <t>ITALY002</t>
  </si>
  <si>
    <t>1508A</t>
  </si>
  <si>
    <t>ITALY003</t>
  </si>
  <si>
    <t>1508B</t>
  </si>
  <si>
    <t>1509A</t>
  </si>
  <si>
    <t>1509B</t>
  </si>
  <si>
    <t>1601A</t>
  </si>
  <si>
    <t>1601B</t>
  </si>
  <si>
    <t>1602A</t>
  </si>
  <si>
    <t>NL001</t>
  </si>
  <si>
    <t>1602B</t>
  </si>
  <si>
    <t>NL002</t>
  </si>
  <si>
    <t>1603A</t>
  </si>
  <si>
    <t>1603B</t>
  </si>
  <si>
    <t>TOTALS</t>
  </si>
  <si>
    <t>NET Collections</t>
  </si>
  <si>
    <t>NET Liquidation Rates</t>
  </si>
  <si>
    <t xml:space="preserve">NET Collections/Purchase Price </t>
  </si>
  <si>
    <t>Code</t>
  </si>
  <si>
    <t>Posted</t>
  </si>
  <si>
    <t>Sales</t>
  </si>
  <si>
    <t>%</t>
  </si>
  <si>
    <t>Agencies</t>
  </si>
  <si>
    <t>GROSS COLLECTIONS</t>
  </si>
  <si>
    <t>Codes</t>
  </si>
  <si>
    <t>Purchase Amt</t>
  </si>
  <si>
    <t>Total Posted To Date</t>
  </si>
  <si>
    <t>EOM</t>
  </si>
  <si>
    <t>Putbacks</t>
  </si>
  <si>
    <t>Sale Proceeds</t>
  </si>
  <si>
    <t>Grand Total</t>
  </si>
  <si>
    <t>Grand Total/Cost</t>
  </si>
  <si>
    <t>Totals</t>
  </si>
  <si>
    <t>NET NET COLLECTIONS</t>
  </si>
  <si>
    <t>Net</t>
  </si>
  <si>
    <t>Months since</t>
  </si>
  <si>
    <t>Months</t>
  </si>
  <si>
    <t>Portfolio</t>
  </si>
  <si>
    <t>Total %</t>
  </si>
  <si>
    <t>Purchase</t>
  </si>
  <si>
    <t>Remaining</t>
  </si>
  <si>
    <t>1510A</t>
  </si>
  <si>
    <t>1510B</t>
  </si>
  <si>
    <t>1604A</t>
  </si>
  <si>
    <t>1604B</t>
  </si>
  <si>
    <t>NEXA011</t>
  </si>
  <si>
    <t>NEXA012</t>
  </si>
  <si>
    <t>NEXA013</t>
  </si>
  <si>
    <t>NEXA014</t>
  </si>
  <si>
    <t>NEXA015</t>
  </si>
  <si>
    <t>NEXA</t>
  </si>
  <si>
    <t>Source1</t>
  </si>
  <si>
    <t>FE6</t>
  </si>
  <si>
    <t>Italy</t>
  </si>
  <si>
    <t>NL</t>
  </si>
  <si>
    <t>Fund</t>
  </si>
  <si>
    <t>1511B</t>
  </si>
  <si>
    <t>1511A</t>
  </si>
  <si>
    <t>OPEN</t>
  </si>
  <si>
    <t>Gross Posted To Date</t>
  </si>
  <si>
    <t>Net Distributions To Date</t>
  </si>
  <si>
    <t>1605A</t>
  </si>
  <si>
    <t>1605B</t>
  </si>
  <si>
    <t>1606A</t>
  </si>
  <si>
    <t>1606B</t>
  </si>
  <si>
    <t>Fintech 1</t>
  </si>
  <si>
    <t>Fintech 2</t>
  </si>
  <si>
    <t>FinTech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</si>
</sst>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* #,##0_);_(* \(#,##0\);_(* &quot;-&quot;??_);_(@_)"/>
    <numFmt numFmtId="167" formatCode="mm/dd/yyyy"/>
  </numFmts>
  <fonts count="12" x14ac:knownFonts="1">
    <font>
      <sz val="12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9CC2E5"/>
        <bgColor rgb="FF9CC2E5"/>
      </patternFill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rgb="FFD9EAD3"/>
        <bgColor rgb="FFD9EAD3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92D050"/>
        <bgColor rgb="FF92D050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00FFFF"/>
        <bgColor rgb="FF00FFFF"/>
      </patternFill>
    </fill>
    <fill>
      <patternFill patternType="solid">
        <fgColor rgb="FF002060"/>
        <bgColor rgb="FF002060"/>
      </patternFill>
    </fill>
    <fill>
      <patternFill patternType="solid">
        <fgColor rgb="FFB4C6E7"/>
        <bgColor rgb="FFB4C6E7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28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6" fontId="1" fillId="0" borderId="0" xfId="0" applyNumberFormat="1" applyFont="1"/>
    <xf numFmtId="0" fontId="1" fillId="0" borderId="0" xfId="0" applyFont="1"/>
    <xf numFmtId="6" fontId="2" fillId="2" borderId="3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1" fillId="0" borderId="0" xfId="0" applyNumberFormat="1" applyFont="1"/>
    <xf numFmtId="43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right"/>
    </xf>
    <xf numFmtId="164" fontId="1" fillId="5" borderId="15" xfId="0" applyNumberFormat="1" applyFont="1" applyFill="1" applyBorder="1" applyAlignment="1">
      <alignment horizontal="right"/>
    </xf>
    <xf numFmtId="0" fontId="1" fillId="5" borderId="15" xfId="0" applyFont="1" applyFill="1" applyBorder="1" applyAlignment="1">
      <alignment horizontal="right"/>
    </xf>
    <xf numFmtId="164" fontId="1" fillId="6" borderId="15" xfId="0" applyNumberFormat="1" applyFont="1" applyFill="1" applyBorder="1" applyAlignment="1">
      <alignment horizontal="right"/>
    </xf>
    <xf numFmtId="0" fontId="1" fillId="6" borderId="15" xfId="0" applyFont="1" applyFill="1" applyBorder="1" applyAlignment="1">
      <alignment horizontal="right"/>
    </xf>
    <xf numFmtId="164" fontId="1" fillId="7" borderId="15" xfId="0" applyNumberFormat="1" applyFont="1" applyFill="1" applyBorder="1" applyAlignment="1">
      <alignment horizontal="right"/>
    </xf>
    <xf numFmtId="10" fontId="1" fillId="9" borderId="15" xfId="0" applyNumberFormat="1" applyFont="1" applyFill="1" applyBorder="1" applyAlignment="1">
      <alignment horizontal="center"/>
    </xf>
    <xf numFmtId="10" fontId="1" fillId="10" borderId="15" xfId="0" applyNumberFormat="1" applyFont="1" applyFill="1" applyBorder="1" applyAlignment="1">
      <alignment horizontal="center"/>
    </xf>
    <xf numFmtId="10" fontId="1" fillId="10" borderId="16" xfId="0" applyNumberFormat="1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 vertical="center"/>
    </xf>
    <xf numFmtId="0" fontId="5" fillId="12" borderId="18" xfId="0" applyFont="1" applyFill="1" applyBorder="1"/>
    <xf numFmtId="164" fontId="2" fillId="11" borderId="18" xfId="0" applyNumberFormat="1" applyFont="1" applyFill="1" applyBorder="1" applyAlignment="1">
      <alignment horizontal="right"/>
    </xf>
    <xf numFmtId="166" fontId="2" fillId="11" borderId="18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center"/>
    </xf>
    <xf numFmtId="43" fontId="1" fillId="0" borderId="15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4" fontId="2" fillId="0" borderId="20" xfId="0" applyNumberFormat="1" applyFont="1" applyBorder="1" applyAlignment="1">
      <alignment horizontal="center"/>
    </xf>
    <xf numFmtId="10" fontId="2" fillId="0" borderId="20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right"/>
    </xf>
    <xf numFmtId="164" fontId="1" fillId="5" borderId="21" xfId="0" applyNumberFormat="1" applyFont="1" applyFill="1" applyBorder="1" applyAlignment="1">
      <alignment horizontal="right"/>
    </xf>
    <xf numFmtId="0" fontId="1" fillId="5" borderId="21" xfId="0" applyFont="1" applyFill="1" applyBorder="1" applyAlignment="1">
      <alignment horizontal="right"/>
    </xf>
    <xf numFmtId="164" fontId="1" fillId="6" borderId="21" xfId="0" applyNumberFormat="1" applyFont="1" applyFill="1" applyBorder="1" applyAlignment="1">
      <alignment horizontal="right"/>
    </xf>
    <xf numFmtId="0" fontId="1" fillId="6" borderId="21" xfId="0" applyFont="1" applyFill="1" applyBorder="1" applyAlignment="1">
      <alignment horizontal="right"/>
    </xf>
    <xf numFmtId="164" fontId="1" fillId="7" borderId="21" xfId="0" applyNumberFormat="1" applyFont="1" applyFill="1" applyBorder="1" applyAlignment="1">
      <alignment horizontal="right"/>
    </xf>
    <xf numFmtId="10" fontId="1" fillId="9" borderId="21" xfId="0" applyNumberFormat="1" applyFont="1" applyFill="1" applyBorder="1" applyAlignment="1">
      <alignment horizontal="center"/>
    </xf>
    <xf numFmtId="10" fontId="1" fillId="10" borderId="21" xfId="0" applyNumberFormat="1" applyFont="1" applyFill="1" applyBorder="1" applyAlignment="1">
      <alignment horizontal="center"/>
    </xf>
    <xf numFmtId="10" fontId="1" fillId="10" borderId="2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0" fontId="6" fillId="0" borderId="0" xfId="0" applyFont="1" applyAlignment="1">
      <alignment horizontal="center"/>
    </xf>
    <xf numFmtId="166" fontId="3" fillId="0" borderId="0" xfId="0" applyNumberFormat="1" applyFont="1"/>
    <xf numFmtId="17" fontId="7" fillId="0" borderId="0" xfId="0" applyNumberFormat="1" applyFont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17" fontId="6" fillId="4" borderId="12" xfId="0" applyNumberFormat="1" applyFont="1" applyFill="1" applyBorder="1" applyAlignment="1">
      <alignment horizontal="center"/>
    </xf>
    <xf numFmtId="17" fontId="6" fillId="4" borderId="12" xfId="0" applyNumberFormat="1" applyFont="1" applyFill="1" applyBorder="1" applyAlignment="1">
      <alignment vertical="center"/>
    </xf>
    <xf numFmtId="17" fontId="6" fillId="4" borderId="23" xfId="0" applyNumberFormat="1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9" fontId="3" fillId="0" borderId="0" xfId="0" applyNumberFormat="1" applyFont="1"/>
    <xf numFmtId="17" fontId="6" fillId="3" borderId="24" xfId="0" applyNumberFormat="1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17" fontId="6" fillId="4" borderId="25" xfId="0" applyNumberFormat="1" applyFont="1" applyFill="1" applyBorder="1" applyAlignment="1">
      <alignment horizontal="center"/>
    </xf>
    <xf numFmtId="17" fontId="6" fillId="4" borderId="25" xfId="0" applyNumberFormat="1" applyFont="1" applyFill="1" applyBorder="1" applyAlignment="1">
      <alignment vertical="center"/>
    </xf>
    <xf numFmtId="0" fontId="6" fillId="16" borderId="25" xfId="0" applyFont="1" applyFill="1" applyBorder="1"/>
    <xf numFmtId="10" fontId="6" fillId="11" borderId="26" xfId="0" applyNumberFormat="1" applyFont="1" applyFill="1" applyBorder="1"/>
    <xf numFmtId="164" fontId="8" fillId="0" borderId="0" xfId="0" applyNumberFormat="1" applyFont="1" applyAlignment="1">
      <alignment horizontal="center"/>
    </xf>
    <xf numFmtId="0" fontId="2" fillId="0" borderId="27" xfId="0" applyFont="1" applyBorder="1" applyAlignment="1">
      <alignment horizontal="center"/>
    </xf>
    <xf numFmtId="14" fontId="2" fillId="0" borderId="27" xfId="0" applyNumberFormat="1" applyFont="1" applyBorder="1" applyAlignment="1">
      <alignment horizontal="center"/>
    </xf>
    <xf numFmtId="10" fontId="2" fillId="0" borderId="27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right"/>
    </xf>
    <xf numFmtId="164" fontId="1" fillId="5" borderId="27" xfId="0" applyNumberFormat="1" applyFont="1" applyFill="1" applyBorder="1" applyAlignment="1">
      <alignment horizontal="right"/>
    </xf>
    <xf numFmtId="0" fontId="1" fillId="5" borderId="27" xfId="0" applyFont="1" applyFill="1" applyBorder="1" applyAlignment="1">
      <alignment horizontal="right"/>
    </xf>
    <xf numFmtId="164" fontId="1" fillId="6" borderId="27" xfId="0" applyNumberFormat="1" applyFont="1" applyFill="1" applyBorder="1" applyAlignment="1">
      <alignment horizontal="right"/>
    </xf>
    <xf numFmtId="0" fontId="1" fillId="6" borderId="27" xfId="0" applyFont="1" applyFill="1" applyBorder="1" applyAlignment="1">
      <alignment horizontal="right"/>
    </xf>
    <xf numFmtId="164" fontId="1" fillId="7" borderId="27" xfId="0" applyNumberFormat="1" applyFont="1" applyFill="1" applyBorder="1" applyAlignment="1">
      <alignment horizontal="right"/>
    </xf>
    <xf numFmtId="164" fontId="1" fillId="8" borderId="27" xfId="0" applyNumberFormat="1" applyFont="1" applyFill="1" applyBorder="1" applyAlignment="1">
      <alignment horizontal="right"/>
    </xf>
    <xf numFmtId="10" fontId="1" fillId="9" borderId="27" xfId="0" applyNumberFormat="1" applyFont="1" applyFill="1" applyBorder="1" applyAlignment="1">
      <alignment horizontal="center"/>
    </xf>
    <xf numFmtId="10" fontId="1" fillId="10" borderId="27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14" fontId="2" fillId="0" borderId="29" xfId="0" applyNumberFormat="1" applyFont="1" applyBorder="1" applyAlignment="1">
      <alignment horizontal="center"/>
    </xf>
    <xf numFmtId="10" fontId="2" fillId="0" borderId="29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right"/>
    </xf>
    <xf numFmtId="164" fontId="1" fillId="5" borderId="29" xfId="0" applyNumberFormat="1" applyFont="1" applyFill="1" applyBorder="1" applyAlignment="1">
      <alignment horizontal="right"/>
    </xf>
    <xf numFmtId="0" fontId="1" fillId="5" borderId="29" xfId="0" applyFont="1" applyFill="1" applyBorder="1" applyAlignment="1">
      <alignment horizontal="right"/>
    </xf>
    <xf numFmtId="164" fontId="1" fillId="6" borderId="29" xfId="0" applyNumberFormat="1" applyFont="1" applyFill="1" applyBorder="1" applyAlignment="1">
      <alignment horizontal="right"/>
    </xf>
    <xf numFmtId="0" fontId="1" fillId="6" borderId="29" xfId="0" applyFont="1" applyFill="1" applyBorder="1" applyAlignment="1">
      <alignment horizontal="right"/>
    </xf>
    <xf numFmtId="164" fontId="1" fillId="7" borderId="29" xfId="0" applyNumberFormat="1" applyFont="1" applyFill="1" applyBorder="1" applyAlignment="1">
      <alignment horizontal="right"/>
    </xf>
    <xf numFmtId="164" fontId="1" fillId="8" borderId="29" xfId="0" applyNumberFormat="1" applyFont="1" applyFill="1" applyBorder="1" applyAlignment="1">
      <alignment horizontal="right"/>
    </xf>
    <xf numFmtId="10" fontId="1" fillId="9" borderId="29" xfId="0" applyNumberFormat="1" applyFont="1" applyFill="1" applyBorder="1" applyAlignment="1">
      <alignment horizontal="center"/>
    </xf>
    <xf numFmtId="10" fontId="1" fillId="10" borderId="29" xfId="0" applyNumberFormat="1" applyFont="1" applyFill="1" applyBorder="1" applyAlignment="1">
      <alignment horizontal="center"/>
    </xf>
    <xf numFmtId="10" fontId="1" fillId="10" borderId="30" xfId="0" applyNumberFormat="1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10" fontId="1" fillId="10" borderId="32" xfId="0" applyNumberFormat="1" applyFont="1" applyFill="1" applyBorder="1" applyAlignment="1">
      <alignment horizontal="center"/>
    </xf>
    <xf numFmtId="164" fontId="1" fillId="5" borderId="34" xfId="0" applyNumberFormat="1" applyFont="1" applyFill="1" applyBorder="1" applyAlignment="1">
      <alignment horizontal="right"/>
    </xf>
    <xf numFmtId="0" fontId="1" fillId="5" borderId="34" xfId="0" applyFont="1" applyFill="1" applyBorder="1" applyAlignment="1">
      <alignment horizontal="right"/>
    </xf>
    <xf numFmtId="164" fontId="1" fillId="6" borderId="34" xfId="0" applyNumberFormat="1" applyFont="1" applyFill="1" applyBorder="1" applyAlignment="1">
      <alignment horizontal="right"/>
    </xf>
    <xf numFmtId="0" fontId="1" fillId="6" borderId="34" xfId="0" applyFont="1" applyFill="1" applyBorder="1" applyAlignment="1">
      <alignment horizontal="right"/>
    </xf>
    <xf numFmtId="43" fontId="1" fillId="0" borderId="21" xfId="0" applyNumberFormat="1" applyFont="1" applyBorder="1" applyAlignment="1">
      <alignment horizontal="center"/>
    </xf>
    <xf numFmtId="43" fontId="1" fillId="0" borderId="27" xfId="0" applyNumberFormat="1" applyFont="1" applyBorder="1" applyAlignment="1">
      <alignment horizontal="center"/>
    </xf>
    <xf numFmtId="0" fontId="6" fillId="16" borderId="25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6" fillId="0" borderId="27" xfId="0" applyNumberFormat="1" applyFont="1" applyBorder="1" applyAlignment="1">
      <alignment horizontal="right"/>
    </xf>
    <xf numFmtId="167" fontId="6" fillId="0" borderId="27" xfId="0" applyNumberFormat="1" applyFont="1" applyBorder="1" applyAlignment="1">
      <alignment horizontal="right"/>
    </xf>
    <xf numFmtId="164" fontId="3" fillId="0" borderId="27" xfId="0" applyNumberFormat="1" applyFont="1" applyBorder="1" applyAlignment="1">
      <alignment horizontal="right"/>
    </xf>
    <xf numFmtId="164" fontId="3" fillId="7" borderId="27" xfId="0" applyNumberFormat="1" applyFont="1" applyFill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28" xfId="0" applyFont="1" applyBorder="1" applyAlignment="1">
      <alignment horizontal="center"/>
    </xf>
    <xf numFmtId="164" fontId="6" fillId="0" borderId="29" xfId="0" applyNumberFormat="1" applyFont="1" applyBorder="1" applyAlignment="1">
      <alignment horizontal="right"/>
    </xf>
    <xf numFmtId="167" fontId="6" fillId="0" borderId="29" xfId="0" applyNumberFormat="1" applyFont="1" applyBorder="1" applyAlignment="1">
      <alignment horizontal="right"/>
    </xf>
    <xf numFmtId="164" fontId="3" fillId="0" borderId="29" xfId="0" applyNumberFormat="1" applyFont="1" applyBorder="1" applyAlignment="1">
      <alignment horizontal="right"/>
    </xf>
    <xf numFmtId="164" fontId="3" fillId="7" borderId="29" xfId="0" applyNumberFormat="1" applyFont="1" applyFill="1" applyBorder="1" applyAlignment="1">
      <alignment horizontal="right"/>
    </xf>
    <xf numFmtId="10" fontId="3" fillId="0" borderId="30" xfId="0" applyNumberFormat="1" applyFont="1" applyBorder="1"/>
    <xf numFmtId="0" fontId="6" fillId="0" borderId="31" xfId="0" applyFont="1" applyBorder="1" applyAlignment="1">
      <alignment horizontal="center"/>
    </xf>
    <xf numFmtId="10" fontId="3" fillId="0" borderId="32" xfId="0" applyNumberFormat="1" applyFont="1" applyBorder="1"/>
    <xf numFmtId="164" fontId="3" fillId="0" borderId="34" xfId="0" applyNumberFormat="1" applyFont="1" applyBorder="1" applyAlignment="1">
      <alignment horizontal="right"/>
    </xf>
    <xf numFmtId="10" fontId="3" fillId="0" borderId="35" xfId="0" applyNumberFormat="1" applyFont="1" applyBorder="1"/>
    <xf numFmtId="0" fontId="3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2" fillId="0" borderId="0" xfId="0" applyFont="1"/>
    <xf numFmtId="0" fontId="9" fillId="0" borderId="28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164" fontId="9" fillId="0" borderId="33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right"/>
    </xf>
    <xf numFmtId="164" fontId="2" fillId="0" borderId="32" xfId="0" applyNumberFormat="1" applyFont="1" applyBorder="1" applyAlignment="1">
      <alignment horizontal="right"/>
    </xf>
    <xf numFmtId="164" fontId="2" fillId="0" borderId="35" xfId="0" applyNumberFormat="1" applyFont="1" applyBorder="1" applyAlignment="1">
      <alignment horizontal="right"/>
    </xf>
    <xf numFmtId="164" fontId="9" fillId="0" borderId="36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44" fontId="0" fillId="0" borderId="0" xfId="0" applyNumberFormat="1"/>
    <xf numFmtId="164" fontId="3" fillId="0" borderId="39" xfId="0" applyNumberFormat="1" applyFont="1" applyBorder="1" applyAlignment="1">
      <alignment horizontal="right"/>
    </xf>
    <xf numFmtId="164" fontId="3" fillId="0" borderId="40" xfId="0" applyNumberFormat="1" applyFont="1" applyBorder="1" applyAlignment="1">
      <alignment horizontal="right"/>
    </xf>
    <xf numFmtId="17" fontId="6" fillId="4" borderId="7" xfId="0" applyNumberFormat="1" applyFont="1" applyFill="1" applyBorder="1" applyAlignment="1">
      <alignment horizontal="center"/>
    </xf>
    <xf numFmtId="17" fontId="6" fillId="4" borderId="8" xfId="0" applyNumberFormat="1" applyFont="1" applyFill="1" applyBorder="1" applyAlignment="1">
      <alignment horizontal="center"/>
    </xf>
    <xf numFmtId="17" fontId="6" fillId="4" borderId="36" xfId="0" applyNumberFormat="1" applyFont="1" applyFill="1" applyBorder="1" applyAlignment="1">
      <alignment horizontal="center"/>
    </xf>
    <xf numFmtId="164" fontId="3" fillId="0" borderId="43" xfId="0" applyNumberFormat="1" applyFont="1" applyBorder="1" applyAlignment="1">
      <alignment horizontal="right"/>
    </xf>
    <xf numFmtId="164" fontId="0" fillId="0" borderId="0" xfId="0" applyNumberFormat="1"/>
    <xf numFmtId="10" fontId="3" fillId="0" borderId="0" xfId="0" applyNumberFormat="1" applyFont="1"/>
    <xf numFmtId="0" fontId="2" fillId="18" borderId="31" xfId="0" applyFont="1" applyFill="1" applyBorder="1" applyAlignment="1">
      <alignment horizontal="center"/>
    </xf>
    <xf numFmtId="0" fontId="2" fillId="18" borderId="33" xfId="0" applyFont="1" applyFill="1" applyBorder="1" applyAlignment="1">
      <alignment horizontal="center"/>
    </xf>
    <xf numFmtId="0" fontId="2" fillId="18" borderId="14" xfId="0" applyFont="1" applyFill="1" applyBorder="1" applyAlignment="1">
      <alignment horizontal="center"/>
    </xf>
    <xf numFmtId="0" fontId="2" fillId="18" borderId="19" xfId="0" applyFont="1" applyFill="1" applyBorder="1" applyAlignment="1">
      <alignment horizontal="center"/>
    </xf>
    <xf numFmtId="0" fontId="6" fillId="18" borderId="31" xfId="0" applyFont="1" applyFill="1" applyBorder="1" applyAlignment="1">
      <alignment horizontal="center"/>
    </xf>
    <xf numFmtId="0" fontId="6" fillId="18" borderId="33" xfId="0" applyFont="1" applyFill="1" applyBorder="1" applyAlignment="1">
      <alignment horizontal="center"/>
    </xf>
    <xf numFmtId="0" fontId="2" fillId="18" borderId="27" xfId="0" applyFont="1" applyFill="1" applyBorder="1" applyAlignment="1">
      <alignment horizontal="center"/>
    </xf>
    <xf numFmtId="14" fontId="2" fillId="18" borderId="27" xfId="0" applyNumberFormat="1" applyFont="1" applyFill="1" applyBorder="1" applyAlignment="1">
      <alignment horizontal="center"/>
    </xf>
    <xf numFmtId="0" fontId="5" fillId="12" borderId="41" xfId="0" applyFont="1" applyFill="1" applyBorder="1"/>
    <xf numFmtId="0" fontId="5" fillId="12" borderId="36" xfId="0" applyFont="1" applyFill="1" applyBorder="1"/>
    <xf numFmtId="14" fontId="2" fillId="18" borderId="15" xfId="0" applyNumberFormat="1" applyFont="1" applyFill="1" applyBorder="1" applyAlignment="1">
      <alignment horizontal="center"/>
    </xf>
    <xf numFmtId="14" fontId="2" fillId="18" borderId="20" xfId="0" applyNumberFormat="1" applyFont="1" applyFill="1" applyBorder="1" applyAlignment="1">
      <alignment horizontal="center"/>
    </xf>
    <xf numFmtId="14" fontId="2" fillId="18" borderId="21" xfId="0" applyNumberFormat="1" applyFont="1" applyFill="1" applyBorder="1" applyAlignment="1">
      <alignment horizontal="center"/>
    </xf>
    <xf numFmtId="164" fontId="6" fillId="18" borderId="27" xfId="0" applyNumberFormat="1" applyFont="1" applyFill="1" applyBorder="1" applyAlignment="1">
      <alignment horizontal="right"/>
    </xf>
    <xf numFmtId="167" fontId="6" fillId="18" borderId="27" xfId="0" applyNumberFormat="1" applyFont="1" applyFill="1" applyBorder="1" applyAlignment="1">
      <alignment horizontal="right"/>
    </xf>
    <xf numFmtId="164" fontId="6" fillId="18" borderId="34" xfId="0" applyNumberFormat="1" applyFont="1" applyFill="1" applyBorder="1" applyAlignment="1">
      <alignment horizontal="right"/>
    </xf>
    <xf numFmtId="167" fontId="6" fillId="18" borderId="34" xfId="0" applyNumberFormat="1" applyFont="1" applyFill="1" applyBorder="1" applyAlignment="1">
      <alignment horizontal="right"/>
    </xf>
    <xf numFmtId="0" fontId="6" fillId="18" borderId="27" xfId="0" applyFont="1" applyFill="1" applyBorder="1" applyAlignment="1">
      <alignment horizontal="right"/>
    </xf>
    <xf numFmtId="10" fontId="2" fillId="18" borderId="27" xfId="0" applyNumberFormat="1" applyFont="1" applyFill="1" applyBorder="1" applyAlignment="1">
      <alignment horizontal="center"/>
    </xf>
    <xf numFmtId="164" fontId="1" fillId="18" borderId="27" xfId="0" applyNumberFormat="1" applyFont="1" applyFill="1" applyBorder="1" applyAlignment="1">
      <alignment horizontal="right"/>
    </xf>
    <xf numFmtId="10" fontId="2" fillId="18" borderId="15" xfId="0" applyNumberFormat="1" applyFont="1" applyFill="1" applyBorder="1" applyAlignment="1">
      <alignment horizontal="center"/>
    </xf>
    <xf numFmtId="164" fontId="1" fillId="18" borderId="15" xfId="0" applyNumberFormat="1" applyFont="1" applyFill="1" applyBorder="1" applyAlignment="1">
      <alignment horizontal="right"/>
    </xf>
    <xf numFmtId="10" fontId="2" fillId="18" borderId="20" xfId="0" applyNumberFormat="1" applyFont="1" applyFill="1" applyBorder="1" applyAlignment="1">
      <alignment horizontal="center"/>
    </xf>
    <xf numFmtId="164" fontId="1" fillId="18" borderId="20" xfId="0" applyNumberFormat="1" applyFont="1" applyFill="1" applyBorder="1" applyAlignment="1">
      <alignment horizontal="right"/>
    </xf>
    <xf numFmtId="10" fontId="2" fillId="18" borderId="21" xfId="0" applyNumberFormat="1" applyFont="1" applyFill="1" applyBorder="1" applyAlignment="1">
      <alignment horizontal="center"/>
    </xf>
    <xf numFmtId="164" fontId="1" fillId="18" borderId="21" xfId="0" applyNumberFormat="1" applyFont="1" applyFill="1" applyBorder="1" applyAlignment="1">
      <alignment horizontal="right"/>
    </xf>
    <xf numFmtId="17" fontId="6" fillId="3" borderId="44" xfId="0" applyNumberFormat="1" applyFont="1" applyFill="1" applyBorder="1" applyAlignment="1">
      <alignment horizontal="center"/>
    </xf>
    <xf numFmtId="0" fontId="6" fillId="18" borderId="45" xfId="0" applyFont="1" applyFill="1" applyBorder="1" applyAlignment="1">
      <alignment horizontal="center"/>
    </xf>
    <xf numFmtId="164" fontId="6" fillId="18" borderId="43" xfId="0" applyNumberFormat="1" applyFont="1" applyFill="1" applyBorder="1" applyAlignment="1">
      <alignment horizontal="right"/>
    </xf>
    <xf numFmtId="167" fontId="6" fillId="18" borderId="43" xfId="0" applyNumberFormat="1" applyFont="1" applyFill="1" applyBorder="1" applyAlignment="1">
      <alignment horizontal="right"/>
    </xf>
    <xf numFmtId="164" fontId="3" fillId="7" borderId="43" xfId="0" applyNumberFormat="1" applyFont="1" applyFill="1" applyBorder="1" applyAlignment="1">
      <alignment horizontal="right"/>
    </xf>
    <xf numFmtId="10" fontId="3" fillId="0" borderId="46" xfId="0" applyNumberFormat="1" applyFont="1" applyBorder="1"/>
    <xf numFmtId="164" fontId="3" fillId="0" borderId="48" xfId="0" applyNumberFormat="1" applyFont="1" applyBorder="1" applyAlignment="1">
      <alignment horizontal="right"/>
    </xf>
    <xf numFmtId="164" fontId="3" fillId="12" borderId="50" xfId="0" applyNumberFormat="1" applyFont="1" applyFill="1" applyBorder="1" applyAlignment="1">
      <alignment horizontal="right"/>
    </xf>
    <xf numFmtId="164" fontId="3" fillId="12" borderId="51" xfId="0" applyNumberFormat="1" applyFont="1" applyFill="1" applyBorder="1" applyAlignment="1">
      <alignment horizontal="right"/>
    </xf>
    <xf numFmtId="9" fontId="3" fillId="0" borderId="28" xfId="0" applyNumberFormat="1" applyFont="1" applyBorder="1"/>
    <xf numFmtId="9" fontId="3" fillId="0" borderId="31" xfId="0" applyNumberFormat="1" applyFont="1" applyBorder="1"/>
    <xf numFmtId="9" fontId="3" fillId="0" borderId="33" xfId="0" applyNumberFormat="1" applyFont="1" applyBorder="1"/>
    <xf numFmtId="164" fontId="3" fillId="0" borderId="28" xfId="0" applyNumberFormat="1" applyFont="1" applyBorder="1" applyAlignment="1">
      <alignment horizontal="right"/>
    </xf>
    <xf numFmtId="164" fontId="3" fillId="0" borderId="30" xfId="0" applyNumberFormat="1" applyFont="1" applyBorder="1" applyAlignment="1">
      <alignment horizontal="right"/>
    </xf>
    <xf numFmtId="164" fontId="3" fillId="0" borderId="31" xfId="0" applyNumberFormat="1" applyFont="1" applyBorder="1" applyAlignment="1">
      <alignment horizontal="right"/>
    </xf>
    <xf numFmtId="164" fontId="3" fillId="0" borderId="32" xfId="0" applyNumberFormat="1" applyFont="1" applyBorder="1" applyAlignment="1">
      <alignment horizontal="right"/>
    </xf>
    <xf numFmtId="164" fontId="3" fillId="0" borderId="45" xfId="0" applyNumberFormat="1" applyFont="1" applyBorder="1" applyAlignment="1">
      <alignment horizontal="right"/>
    </xf>
    <xf numFmtId="164" fontId="3" fillId="0" borderId="46" xfId="0" applyNumberFormat="1" applyFont="1" applyBorder="1" applyAlignment="1">
      <alignment horizontal="right"/>
    </xf>
    <xf numFmtId="164" fontId="3" fillId="0" borderId="33" xfId="0" applyNumberFormat="1" applyFont="1" applyBorder="1" applyAlignment="1">
      <alignment horizontal="right"/>
    </xf>
    <xf numFmtId="164" fontId="3" fillId="0" borderId="35" xfId="0" applyNumberFormat="1" applyFont="1" applyBorder="1" applyAlignment="1">
      <alignment horizontal="right"/>
    </xf>
    <xf numFmtId="164" fontId="3" fillId="0" borderId="29" xfId="1" applyNumberFormat="1" applyFont="1" applyFill="1" applyBorder="1" applyAlignment="1">
      <alignment horizontal="right"/>
    </xf>
    <xf numFmtId="164" fontId="3" fillId="0" borderId="37" xfId="1" applyNumberFormat="1" applyFont="1" applyFill="1" applyBorder="1" applyAlignment="1">
      <alignment horizontal="right"/>
    </xf>
    <xf numFmtId="164" fontId="3" fillId="0" borderId="27" xfId="1" applyNumberFormat="1" applyFont="1" applyFill="1" applyBorder="1" applyAlignment="1">
      <alignment horizontal="right"/>
    </xf>
    <xf numFmtId="164" fontId="3" fillId="0" borderId="38" xfId="1" applyNumberFormat="1" applyFont="1" applyFill="1" applyBorder="1" applyAlignment="1">
      <alignment horizontal="right"/>
    </xf>
    <xf numFmtId="164" fontId="3" fillId="18" borderId="27" xfId="1" applyNumberFormat="1" applyFont="1" applyFill="1" applyBorder="1" applyAlignment="1">
      <alignment horizontal="right"/>
    </xf>
    <xf numFmtId="164" fontId="6" fillId="18" borderId="38" xfId="1" applyNumberFormat="1" applyFont="1" applyFill="1" applyBorder="1" applyAlignment="1">
      <alignment horizontal="right"/>
    </xf>
    <xf numFmtId="164" fontId="6" fillId="0" borderId="27" xfId="1" applyNumberFormat="1" applyFont="1" applyFill="1" applyBorder="1" applyAlignment="1">
      <alignment horizontal="right"/>
    </xf>
    <xf numFmtId="164" fontId="3" fillId="18" borderId="38" xfId="1" applyNumberFormat="1" applyFont="1" applyFill="1" applyBorder="1" applyAlignment="1">
      <alignment horizontal="right"/>
    </xf>
    <xf numFmtId="164" fontId="3" fillId="18" borderId="43" xfId="1" applyNumberFormat="1" applyFont="1" applyFill="1" applyBorder="1" applyAlignment="1">
      <alignment horizontal="right"/>
    </xf>
    <xf numFmtId="164" fontId="6" fillId="18" borderId="49" xfId="1" applyNumberFormat="1" applyFont="1" applyFill="1" applyBorder="1" applyAlignment="1">
      <alignment horizontal="right"/>
    </xf>
    <xf numFmtId="164" fontId="3" fillId="18" borderId="34" xfId="1" applyNumberFormat="1" applyFont="1" applyFill="1" applyBorder="1" applyAlignment="1">
      <alignment horizontal="right"/>
    </xf>
    <xf numFmtId="164" fontId="3" fillId="0" borderId="29" xfId="1" applyNumberFormat="1" applyFont="1" applyBorder="1" applyAlignment="1">
      <alignment horizontal="right"/>
    </xf>
    <xf numFmtId="164" fontId="3" fillId="0" borderId="30" xfId="1" applyNumberFormat="1" applyFont="1" applyBorder="1" applyAlignment="1">
      <alignment horizontal="right"/>
    </xf>
    <xf numFmtId="164" fontId="3" fillId="0" borderId="27" xfId="1" applyNumberFormat="1" applyFont="1" applyBorder="1" applyAlignment="1">
      <alignment horizontal="right"/>
    </xf>
    <xf numFmtId="164" fontId="3" fillId="0" borderId="32" xfId="1" applyNumberFormat="1" applyFont="1" applyBorder="1" applyAlignment="1">
      <alignment horizontal="right"/>
    </xf>
    <xf numFmtId="164" fontId="3" fillId="18" borderId="32" xfId="1" applyNumberFormat="1" applyFont="1" applyFill="1" applyBorder="1" applyAlignment="1">
      <alignment horizontal="right"/>
    </xf>
    <xf numFmtId="164" fontId="6" fillId="0" borderId="27" xfId="1" applyNumberFormat="1" applyFont="1" applyBorder="1" applyAlignment="1">
      <alignment horizontal="right"/>
    </xf>
    <xf numFmtId="164" fontId="6" fillId="18" borderId="27" xfId="1" applyNumberFormat="1" applyFont="1" applyFill="1" applyBorder="1" applyAlignment="1">
      <alignment horizontal="right"/>
    </xf>
    <xf numFmtId="164" fontId="6" fillId="18" borderId="43" xfId="1" applyNumberFormat="1" applyFont="1" applyFill="1" applyBorder="1" applyAlignment="1">
      <alignment horizontal="right"/>
    </xf>
    <xf numFmtId="164" fontId="3" fillId="18" borderId="46" xfId="1" applyNumberFormat="1" applyFont="1" applyFill="1" applyBorder="1" applyAlignment="1">
      <alignment horizontal="right"/>
    </xf>
    <xf numFmtId="164" fontId="6" fillId="18" borderId="34" xfId="1" applyNumberFormat="1" applyFont="1" applyFill="1" applyBorder="1" applyAlignment="1">
      <alignment horizontal="right"/>
    </xf>
    <xf numFmtId="164" fontId="3" fillId="18" borderId="35" xfId="1" applyNumberFormat="1" applyFont="1" applyFill="1" applyBorder="1" applyAlignment="1">
      <alignment horizontal="right"/>
    </xf>
    <xf numFmtId="0" fontId="5" fillId="12" borderId="47" xfId="0" applyFont="1" applyFill="1" applyBorder="1"/>
    <xf numFmtId="14" fontId="2" fillId="18" borderId="34" xfId="0" applyNumberFormat="1" applyFont="1" applyFill="1" applyBorder="1" applyAlignment="1">
      <alignment horizontal="center"/>
    </xf>
    <xf numFmtId="164" fontId="1" fillId="18" borderId="34" xfId="0" applyNumberFormat="1" applyFont="1" applyFill="1" applyBorder="1" applyAlignment="1">
      <alignment horizontal="right"/>
    </xf>
    <xf numFmtId="164" fontId="2" fillId="11" borderId="42" xfId="0" applyNumberFormat="1" applyFont="1" applyFill="1" applyBorder="1" applyAlignment="1">
      <alignment horizontal="right"/>
    </xf>
    <xf numFmtId="10" fontId="2" fillId="18" borderId="43" xfId="0" applyNumberFormat="1" applyFont="1" applyFill="1" applyBorder="1" applyAlignment="1">
      <alignment horizontal="center"/>
    </xf>
    <xf numFmtId="164" fontId="2" fillId="11" borderId="41" xfId="0" applyNumberFormat="1" applyFont="1" applyFill="1" applyBorder="1" applyAlignment="1">
      <alignment horizontal="right"/>
    </xf>
    <xf numFmtId="10" fontId="1" fillId="9" borderId="43" xfId="0" applyNumberFormat="1" applyFont="1" applyFill="1" applyBorder="1" applyAlignment="1">
      <alignment horizontal="center"/>
    </xf>
    <xf numFmtId="10" fontId="2" fillId="11" borderId="36" xfId="0" applyNumberFormat="1" applyFont="1" applyFill="1" applyBorder="1" applyAlignment="1">
      <alignment horizontal="center"/>
    </xf>
    <xf numFmtId="10" fontId="1" fillId="10" borderId="43" xfId="0" applyNumberFormat="1" applyFont="1" applyFill="1" applyBorder="1" applyAlignment="1">
      <alignment horizontal="center"/>
    </xf>
    <xf numFmtId="10" fontId="1" fillId="10" borderId="46" xfId="0" applyNumberFormat="1" applyFont="1" applyFill="1" applyBorder="1" applyAlignment="1">
      <alignment horizontal="center"/>
    </xf>
    <xf numFmtId="0" fontId="1" fillId="0" borderId="52" xfId="0" applyFont="1" applyBorder="1" applyAlignment="1">
      <alignment horizontal="center"/>
    </xf>
    <xf numFmtId="43" fontId="1" fillId="0" borderId="53" xfId="0" applyNumberFormat="1" applyFont="1" applyBorder="1" applyAlignment="1">
      <alignment horizontal="center"/>
    </xf>
    <xf numFmtId="9" fontId="1" fillId="0" borderId="54" xfId="0" applyNumberFormat="1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9" fontId="1" fillId="0" borderId="56" xfId="0" applyNumberFormat="1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9" fontId="1" fillId="0" borderId="58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9" fontId="1" fillId="0" borderId="32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43" fontId="1" fillId="0" borderId="34" xfId="0" applyNumberFormat="1" applyFont="1" applyBorder="1" applyAlignment="1">
      <alignment horizontal="center"/>
    </xf>
    <xf numFmtId="9" fontId="1" fillId="0" borderId="35" xfId="0" applyNumberFormat="1" applyFont="1" applyBorder="1" applyAlignment="1">
      <alignment horizontal="center"/>
    </xf>
    <xf numFmtId="0" fontId="2" fillId="13" borderId="36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 vertical="center"/>
    </xf>
    <xf numFmtId="164" fontId="2" fillId="11" borderId="36" xfId="0" applyNumberFormat="1" applyFont="1" applyFill="1" applyBorder="1" applyAlignment="1">
      <alignment horizontal="right"/>
    </xf>
    <xf numFmtId="166" fontId="2" fillId="11" borderId="36" xfId="0" applyNumberFormat="1" applyFont="1" applyFill="1" applyBorder="1" applyAlignment="1">
      <alignment horizontal="right"/>
    </xf>
    <xf numFmtId="0" fontId="2" fillId="0" borderId="59" xfId="0" applyFont="1" applyBorder="1" applyAlignment="1">
      <alignment horizontal="center"/>
    </xf>
    <xf numFmtId="0" fontId="2" fillId="4" borderId="36" xfId="0" applyFont="1" applyFill="1" applyBorder="1" applyAlignment="1">
      <alignment horizontal="center"/>
    </xf>
    <xf numFmtId="14" fontId="2" fillId="0" borderId="60" xfId="0" applyNumberFormat="1" applyFont="1" applyBorder="1" applyAlignment="1">
      <alignment horizontal="center"/>
    </xf>
    <xf numFmtId="10" fontId="2" fillId="0" borderId="60" xfId="0" applyNumberFormat="1" applyFont="1" applyBorder="1" applyAlignment="1">
      <alignment horizontal="center"/>
    </xf>
    <xf numFmtId="164" fontId="1" fillId="0" borderId="60" xfId="0" applyNumberFormat="1" applyFont="1" applyBorder="1" applyAlignment="1">
      <alignment horizontal="right"/>
    </xf>
    <xf numFmtId="164" fontId="1" fillId="5" borderId="60" xfId="0" applyNumberFormat="1" applyFont="1" applyFill="1" applyBorder="1" applyAlignment="1">
      <alignment horizontal="right"/>
    </xf>
    <xf numFmtId="0" fontId="1" fillId="5" borderId="60" xfId="0" applyFont="1" applyFill="1" applyBorder="1" applyAlignment="1">
      <alignment horizontal="right"/>
    </xf>
    <xf numFmtId="164" fontId="1" fillId="6" borderId="60" xfId="0" applyNumberFormat="1" applyFont="1" applyFill="1" applyBorder="1" applyAlignment="1">
      <alignment horizontal="right"/>
    </xf>
    <xf numFmtId="0" fontId="1" fillId="6" borderId="60" xfId="0" applyFont="1" applyFill="1" applyBorder="1" applyAlignment="1">
      <alignment horizontal="right"/>
    </xf>
    <xf numFmtId="164" fontId="1" fillId="7" borderId="60" xfId="0" applyNumberFormat="1" applyFont="1" applyFill="1" applyBorder="1" applyAlignment="1">
      <alignment horizontal="right"/>
    </xf>
    <xf numFmtId="10" fontId="1" fillId="9" borderId="60" xfId="0" applyNumberFormat="1" applyFont="1" applyFill="1" applyBorder="1" applyAlignment="1">
      <alignment horizontal="center"/>
    </xf>
    <xf numFmtId="10" fontId="1" fillId="10" borderId="60" xfId="0" applyNumberFormat="1" applyFont="1" applyFill="1" applyBorder="1" applyAlignment="1">
      <alignment horizontal="center"/>
    </xf>
    <xf numFmtId="10" fontId="1" fillId="10" borderId="61" xfId="0" applyNumberFormat="1" applyFont="1" applyFill="1" applyBorder="1" applyAlignment="1">
      <alignment horizontal="center"/>
    </xf>
    <xf numFmtId="164" fontId="3" fillId="12" borderId="62" xfId="0" applyNumberFormat="1" applyFont="1" applyFill="1" applyBorder="1" applyAlignment="1">
      <alignment horizontal="right"/>
    </xf>
    <xf numFmtId="164" fontId="3" fillId="12" borderId="63" xfId="0" applyNumberFormat="1" applyFont="1" applyFill="1" applyBorder="1" applyAlignment="1">
      <alignment horizontal="right"/>
    </xf>
    <xf numFmtId="164" fontId="3" fillId="12" borderId="64" xfId="0" applyNumberFormat="1" applyFont="1" applyFill="1" applyBorder="1" applyAlignment="1">
      <alignment horizontal="right"/>
    </xf>
    <xf numFmtId="164" fontId="3" fillId="7" borderId="28" xfId="0" applyNumberFormat="1" applyFont="1" applyFill="1" applyBorder="1" applyAlignment="1">
      <alignment horizontal="right"/>
    </xf>
    <xf numFmtId="164" fontId="3" fillId="7" borderId="30" xfId="0" applyNumberFormat="1" applyFont="1" applyFill="1" applyBorder="1" applyAlignment="1">
      <alignment horizontal="right"/>
    </xf>
    <xf numFmtId="164" fontId="3" fillId="7" borderId="31" xfId="0" applyNumberFormat="1" applyFont="1" applyFill="1" applyBorder="1" applyAlignment="1">
      <alignment horizontal="right"/>
    </xf>
    <xf numFmtId="164" fontId="3" fillId="7" borderId="32" xfId="0" applyNumberFormat="1" applyFont="1" applyFill="1" applyBorder="1" applyAlignment="1">
      <alignment horizontal="right"/>
    </xf>
    <xf numFmtId="164" fontId="3" fillId="17" borderId="32" xfId="0" applyNumberFormat="1" applyFont="1" applyFill="1" applyBorder="1" applyAlignment="1">
      <alignment horizontal="right"/>
    </xf>
    <xf numFmtId="164" fontId="3" fillId="7" borderId="45" xfId="0" applyNumberFormat="1" applyFont="1" applyFill="1" applyBorder="1" applyAlignment="1">
      <alignment horizontal="right"/>
    </xf>
    <xf numFmtId="164" fontId="3" fillId="7" borderId="46" xfId="0" applyNumberFormat="1" applyFont="1" applyFill="1" applyBorder="1" applyAlignment="1">
      <alignment horizontal="right"/>
    </xf>
    <xf numFmtId="164" fontId="3" fillId="7" borderId="33" xfId="0" applyNumberFormat="1" applyFont="1" applyFill="1" applyBorder="1" applyAlignment="1">
      <alignment horizontal="right"/>
    </xf>
    <xf numFmtId="164" fontId="3" fillId="7" borderId="34" xfId="0" applyNumberFormat="1" applyFont="1" applyFill="1" applyBorder="1" applyAlignment="1">
      <alignment horizontal="right"/>
    </xf>
    <xf numFmtId="164" fontId="3" fillId="7" borderId="35" xfId="0" applyNumberFormat="1" applyFont="1" applyFill="1" applyBorder="1" applyAlignment="1">
      <alignment horizontal="right"/>
    </xf>
    <xf numFmtId="164" fontId="3" fillId="19" borderId="28" xfId="0" applyNumberFormat="1" applyFont="1" applyFill="1" applyBorder="1" applyAlignment="1">
      <alignment horizontal="right"/>
    </xf>
    <xf numFmtId="164" fontId="3" fillId="19" borderId="29" xfId="0" applyNumberFormat="1" applyFont="1" applyFill="1" applyBorder="1" applyAlignment="1">
      <alignment horizontal="right"/>
    </xf>
    <xf numFmtId="164" fontId="3" fillId="19" borderId="30" xfId="0" applyNumberFormat="1" applyFont="1" applyFill="1" applyBorder="1" applyAlignment="1">
      <alignment horizontal="right"/>
    </xf>
    <xf numFmtId="164" fontId="3" fillId="19" borderId="31" xfId="0" applyNumberFormat="1" applyFont="1" applyFill="1" applyBorder="1" applyAlignment="1">
      <alignment horizontal="right"/>
    </xf>
    <xf numFmtId="164" fontId="3" fillId="19" borderId="27" xfId="0" applyNumberFormat="1" applyFont="1" applyFill="1" applyBorder="1" applyAlignment="1">
      <alignment horizontal="right"/>
    </xf>
    <xf numFmtId="164" fontId="3" fillId="19" borderId="32" xfId="0" applyNumberFormat="1" applyFont="1" applyFill="1" applyBorder="1" applyAlignment="1">
      <alignment horizontal="right"/>
    </xf>
    <xf numFmtId="164" fontId="3" fillId="19" borderId="45" xfId="0" applyNumberFormat="1" applyFont="1" applyFill="1" applyBorder="1" applyAlignment="1">
      <alignment horizontal="right"/>
    </xf>
    <xf numFmtId="164" fontId="3" fillId="19" borderId="43" xfId="0" applyNumberFormat="1" applyFont="1" applyFill="1" applyBorder="1" applyAlignment="1">
      <alignment horizontal="right"/>
    </xf>
    <xf numFmtId="164" fontId="3" fillId="19" borderId="46" xfId="0" applyNumberFormat="1" applyFont="1" applyFill="1" applyBorder="1" applyAlignment="1">
      <alignment horizontal="right"/>
    </xf>
    <xf numFmtId="164" fontId="3" fillId="19" borderId="33" xfId="0" applyNumberFormat="1" applyFont="1" applyFill="1" applyBorder="1" applyAlignment="1">
      <alignment horizontal="right"/>
    </xf>
    <xf numFmtId="164" fontId="3" fillId="19" borderId="34" xfId="0" applyNumberFormat="1" applyFont="1" applyFill="1" applyBorder="1" applyAlignment="1">
      <alignment horizontal="right"/>
    </xf>
    <xf numFmtId="164" fontId="3" fillId="19" borderId="35" xfId="0" applyNumberFormat="1" applyFont="1" applyFill="1" applyBorder="1" applyAlignment="1">
      <alignment horizontal="right"/>
    </xf>
    <xf numFmtId="164" fontId="6" fillId="11" borderId="36" xfId="0" applyNumberFormat="1" applyFont="1" applyFill="1" applyBorder="1" applyAlignment="1">
      <alignment horizontal="right"/>
    </xf>
    <xf numFmtId="0" fontId="6" fillId="11" borderId="36" xfId="0" applyFont="1" applyFill="1" applyBorder="1" applyAlignment="1">
      <alignment horizontal="center"/>
    </xf>
    <xf numFmtId="164" fontId="3" fillId="12" borderId="65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6" fillId="14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17" fontId="7" fillId="15" borderId="7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RUBBED 1272" id="{CD677B42-0827-44A9-9C5E-50C6026067A8}" userId="SCRUBBED 1272" providerId="Non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6" dT="2025-12-27T03:23:19.79" personId="{CD677B42-0827-44A9-9C5E-50C6026067A8}" id="{F471591A-FA13-4DE2-844A-C0284D7D5029}">
    <text>Deducted ($360/2) under-investment from the Italians</text>
  </threadedComment>
  <threadedComment ref="P86" dT="2025-12-27T03:15:19.41" personId="{CD677B42-0827-44A9-9C5E-50C6026067A8}" id="{D9B2AAE7-572F-4C8C-82B3-57805E730FD9}">
    <text>Deducted ($300/2) for the $100 bank maintaining balance from the three Italian Investors</text>
  </threadedComment>
  <threadedComment ref="M87" dT="2025-12-27T03:23:23.14" personId="{CD677B42-0827-44A9-9C5E-50C6026067A8}" id="{66F3F54A-AD4D-4860-9667-6497D4A6082C}">
    <text>Deducted ($360/2) under-investment from the Italians</text>
  </threadedComment>
  <threadedComment ref="P87" dT="2025-12-27T03:15:22.77" personId="{CD677B42-0827-44A9-9C5E-50C6026067A8}" id="{6AF03199-D9DB-4D38-9D2F-95074F81BD34}">
    <text>Deducted ($300/2) for the $100 bank maintaining balance from the three Italian Investors</text>
  </threadedComment>
  <threadedComment ref="O88" dT="2025-12-27T03:23:42.29" personId="{CD677B42-0827-44A9-9C5E-50C6026067A8}" id="{25F8A280-36A4-4AEB-95C4-11221415A5CE}">
    <text>Deducted $329.99 under-investment from the Italians</text>
  </threadedComment>
  <threadedComment ref="O99" dT="2025-12-27T03:24:00.77" personId="{CD677B42-0827-44A9-9C5E-50C6026067A8}" id="{0D9C884B-500A-4EB1-A778-B1F554B89ED4}">
    <text>Deducted $18 under-investment from NL</text>
  </threadedComment>
  <threadedComment ref="P99" dT="2025-12-27T03:15:29.00" personId="{CD677B42-0827-44A9-9C5E-50C6026067A8}" id="{F2BD0E69-AF88-4B87-8BAE-F9BD487D43FC}">
    <text>Deducted $100 for the bank maintaining balance of NL Trust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Z1094"/>
  <sheetViews>
    <sheetView showGridLines="0" tabSelected="1" zoomScale="70" zoomScaleNormal="70" zoomScaleSheetLayoutView="90" workbookViewId="0">
      <pane xSplit="4" topLeftCell="E1" activePane="topRight" state="frozen"/>
      <selection pane="topRight" activeCell="J9" sqref="J9"/>
    </sheetView>
  </sheetViews>
  <sheetFormatPr defaultColWidth="11.25" defaultRowHeight="15" customHeight="1" x14ac:dyDescent="0.25"/>
  <cols>
    <col min="1" max="1" width="2.375" customWidth="1"/>
    <col min="2" max="2" width="31" bestFit="1" customWidth="1"/>
    <col min="3" max="3" width="16.875" bestFit="1" customWidth="1"/>
    <col min="4" max="4" width="16.25" bestFit="1" customWidth="1"/>
    <col min="5" max="5" width="12.75" bestFit="1" customWidth="1"/>
    <col min="6" max="6" width="9" bestFit="1" customWidth="1"/>
    <col min="7" max="7" width="16.875" bestFit="1" customWidth="1"/>
    <col min="8" max="8" width="14.375" bestFit="1" customWidth="1"/>
    <col min="9" max="9" width="22.625" bestFit="1" customWidth="1"/>
    <col min="10" max="10" width="17.625" bestFit="1" customWidth="1"/>
    <col min="11" max="11" width="12.125" bestFit="1" customWidth="1"/>
    <col min="12" max="12" width="16.875" bestFit="1" customWidth="1"/>
    <col min="13" max="13" width="11.5" bestFit="1" customWidth="1"/>
    <col min="14" max="14" width="16.375" bestFit="1" customWidth="1"/>
    <col min="15" max="15" width="16" bestFit="1" customWidth="1"/>
    <col min="16" max="16" width="18.5" bestFit="1" customWidth="1"/>
    <col min="17" max="17" width="10.25" bestFit="1" customWidth="1"/>
    <col min="18" max="18" width="18.5" bestFit="1" customWidth="1"/>
    <col min="19" max="19" width="15.75" customWidth="1"/>
    <col min="20" max="20" width="18.5" bestFit="1" customWidth="1"/>
    <col min="21" max="21" width="8.75" customWidth="1"/>
    <col min="22" max="22" width="10.625" bestFit="1" customWidth="1"/>
    <col min="23" max="23" width="11.5" bestFit="1" customWidth="1"/>
    <col min="24" max="24" width="11.25" bestFit="1" customWidth="1"/>
    <col min="25" max="25" width="5.625" bestFit="1" customWidth="1"/>
    <col min="26" max="26" width="8.75" customWidth="1"/>
  </cols>
  <sheetData>
    <row r="1" spans="1:26" ht="16.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1"/>
      <c r="B2" s="2" t="s">
        <v>0</v>
      </c>
      <c r="C2" s="3">
        <f>L67</f>
        <v>90251441.280000001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/>
      <c r="B3" s="6" t="s">
        <v>1</v>
      </c>
      <c r="C3" s="7">
        <f>G67</f>
        <v>6638741.7199999997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6" t="s">
        <v>2</v>
      </c>
      <c r="C4" s="7">
        <f>N67</f>
        <v>2333662.64</v>
      </c>
      <c r="L4" s="8"/>
      <c r="M4" s="8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/>
      <c r="B5" s="10" t="s">
        <v>3</v>
      </c>
      <c r="C5" s="7">
        <f>P67</f>
        <v>5560209.9900000002</v>
      </c>
      <c r="L5" s="8"/>
      <c r="M5" s="8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thickBot="1" x14ac:dyDescent="0.3">
      <c r="A6" s="1"/>
      <c r="B6" s="11" t="s">
        <v>4</v>
      </c>
      <c r="C6" s="12">
        <f>C4-2045406.67</f>
        <v>288255.9700000002</v>
      </c>
      <c r="L6" s="8"/>
      <c r="M6" s="8"/>
      <c r="N6" s="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thickBot="1" x14ac:dyDescent="0.3">
      <c r="A7" s="1"/>
      <c r="B7" s="1"/>
      <c r="C7" s="1"/>
      <c r="D7" s="13"/>
      <c r="G7" s="14"/>
      <c r="H7" s="15"/>
      <c r="L7" s="1"/>
      <c r="M7" s="16"/>
      <c r="N7" s="1"/>
      <c r="O7" s="17"/>
      <c r="P7" s="1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/>
      <c r="B8" s="128" t="s">
        <v>112</v>
      </c>
      <c r="C8" s="131">
        <f>SUM(I21,I22,I23,I24,I26,I27,I28,I29,I30,I31,I32,I47,I48,I49,I50,I51,I52,I53,I54,I55,I56,I59,I60,I61,I62,I63,I64,I65,I66)</f>
        <v>3653503.0350000001</v>
      </c>
      <c r="D8" s="13"/>
      <c r="G8" s="14"/>
      <c r="H8" s="9"/>
      <c r="I8" s="15"/>
      <c r="J8" s="127"/>
      <c r="L8" s="1"/>
      <c r="M8" s="16"/>
      <c r="N8" s="1"/>
      <c r="O8" s="17"/>
      <c r="P8" s="17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29" t="s">
        <v>113</v>
      </c>
      <c r="C9" s="132">
        <f>SUM(I33,I34,I36,I42)</f>
        <v>761236.68599999999</v>
      </c>
      <c r="D9" s="13"/>
      <c r="E9" s="9"/>
      <c r="F9" s="135"/>
      <c r="G9" s="14"/>
      <c r="H9" s="9"/>
      <c r="I9" s="15"/>
      <c r="J9" s="127"/>
      <c r="L9" s="1"/>
      <c r="M9" s="16"/>
      <c r="N9" s="1"/>
      <c r="O9" s="17"/>
      <c r="P9" s="17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29" t="s">
        <v>114</v>
      </c>
      <c r="C10" s="132">
        <f>SUM(I18,I19,I20,I25,I35,I37,I38,I39,I43)</f>
        <v>1003150.4069999999</v>
      </c>
      <c r="D10" s="13"/>
      <c r="E10" s="9"/>
      <c r="F10" s="135"/>
      <c r="G10" s="14"/>
      <c r="H10" s="9"/>
      <c r="I10" s="15"/>
      <c r="J10" s="127"/>
      <c r="L10" s="1"/>
      <c r="M10" s="16"/>
      <c r="N10" s="1"/>
      <c r="O10" s="17"/>
      <c r="P10" s="17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29" t="s">
        <v>115</v>
      </c>
      <c r="C11" s="132">
        <f>SUM(I44,I45,I46)</f>
        <v>654470.65949999995</v>
      </c>
      <c r="D11" s="13"/>
      <c r="E11" s="9"/>
      <c r="F11" s="135"/>
      <c r="G11" s="14"/>
      <c r="H11" s="9"/>
      <c r="I11" s="15"/>
      <c r="J11" s="127"/>
      <c r="L11" s="1"/>
      <c r="M11" s="16"/>
      <c r="N11" s="1"/>
      <c r="O11" s="17"/>
      <c r="P11" s="17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29" t="s">
        <v>116</v>
      </c>
      <c r="C12" s="132">
        <f>SUM(I57,I58)</f>
        <v>556448.10899999994</v>
      </c>
      <c r="D12" s="13"/>
      <c r="E12" s="9"/>
      <c r="F12" s="135"/>
      <c r="G12" s="14"/>
      <c r="H12" s="9"/>
      <c r="I12" s="15"/>
      <c r="J12" s="127"/>
      <c r="L12" s="1"/>
      <c r="M12" s="16"/>
      <c r="N12" s="1"/>
      <c r="O12" s="17"/>
      <c r="P12" s="17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thickBot="1" x14ac:dyDescent="0.3">
      <c r="A13" s="1"/>
      <c r="B13" s="130" t="s">
        <v>117</v>
      </c>
      <c r="C13" s="133">
        <f>SUM(I40,I41)</f>
        <v>341869.90950000001</v>
      </c>
      <c r="D13" s="13"/>
      <c r="E13" s="9"/>
      <c r="F13" s="135"/>
      <c r="G13" s="14"/>
      <c r="H13" s="9"/>
      <c r="I13" s="15"/>
      <c r="J13" s="127"/>
      <c r="L13" s="1"/>
      <c r="M13" s="16"/>
      <c r="N13" s="1"/>
      <c r="O13" s="17"/>
      <c r="P13" s="17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thickBot="1" x14ac:dyDescent="0.3">
      <c r="A14" s="1"/>
      <c r="B14" s="9"/>
      <c r="C14" s="134">
        <f>SUM(C8:C13)</f>
        <v>6970678.8059999999</v>
      </c>
      <c r="D14" s="13"/>
      <c r="E14" s="9"/>
      <c r="F14" s="135"/>
      <c r="G14" s="14"/>
      <c r="H14" s="9"/>
      <c r="I14" s="15"/>
      <c r="J14" s="127"/>
      <c r="L14" s="1"/>
      <c r="M14" s="16"/>
      <c r="N14" s="1"/>
      <c r="O14" s="17"/>
      <c r="P14" s="1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thickBot="1" x14ac:dyDescent="0.3">
      <c r="A15" s="1"/>
      <c r="B15" s="1"/>
      <c r="C15" s="1"/>
      <c r="D15" s="13"/>
      <c r="E15" s="9"/>
      <c r="F15" s="9"/>
      <c r="G15" s="14"/>
      <c r="H15" s="9"/>
      <c r="I15" s="15"/>
      <c r="J15" s="5"/>
      <c r="L15" s="1"/>
      <c r="M15" s="16"/>
      <c r="N15" s="1"/>
      <c r="O15" s="17"/>
      <c r="P15" s="17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thickBot="1" x14ac:dyDescent="0.3">
      <c r="A16" s="1"/>
      <c r="B16" s="1"/>
      <c r="C16" s="1"/>
      <c r="D16" s="13"/>
      <c r="E16" s="9"/>
      <c r="F16" s="9"/>
      <c r="G16" s="14"/>
      <c r="H16" s="9"/>
      <c r="I16" s="15"/>
      <c r="J16" s="280" t="s">
        <v>5</v>
      </c>
      <c r="K16" s="281"/>
      <c r="L16" s="280" t="s">
        <v>6</v>
      </c>
      <c r="M16" s="281"/>
      <c r="N16" s="280" t="s">
        <v>7</v>
      </c>
      <c r="O16" s="282"/>
      <c r="P16" s="281"/>
      <c r="Q16" s="280" t="s">
        <v>8</v>
      </c>
      <c r="R16" s="283"/>
      <c r="S16" s="280" t="s">
        <v>9</v>
      </c>
      <c r="T16" s="281"/>
      <c r="U16" s="1"/>
      <c r="V16" s="1"/>
      <c r="W16" s="1"/>
      <c r="X16" s="1"/>
      <c r="Y16" s="1"/>
      <c r="Z16" s="1"/>
    </row>
    <row r="17" spans="1:26" ht="16.5" thickBot="1" x14ac:dyDescent="0.3">
      <c r="A17" s="1"/>
      <c r="B17" s="18" t="s">
        <v>10</v>
      </c>
      <c r="C17" s="19" t="s">
        <v>11</v>
      </c>
      <c r="D17" s="19" t="s">
        <v>12</v>
      </c>
      <c r="E17" s="19" t="s">
        <v>13</v>
      </c>
      <c r="F17" s="19" t="s">
        <v>14</v>
      </c>
      <c r="G17" s="19" t="s">
        <v>15</v>
      </c>
      <c r="H17" s="19" t="s">
        <v>16</v>
      </c>
      <c r="I17" s="19" t="s">
        <v>17</v>
      </c>
      <c r="J17" s="19" t="s">
        <v>18</v>
      </c>
      <c r="K17" s="19" t="s">
        <v>19</v>
      </c>
      <c r="L17" s="19" t="s">
        <v>18</v>
      </c>
      <c r="M17" s="19" t="s">
        <v>20</v>
      </c>
      <c r="N17" s="19" t="s">
        <v>21</v>
      </c>
      <c r="O17" s="19" t="s">
        <v>22</v>
      </c>
      <c r="P17" s="19" t="s">
        <v>23</v>
      </c>
      <c r="Q17" s="19" t="s">
        <v>21</v>
      </c>
      <c r="R17" s="19" t="s">
        <v>23</v>
      </c>
      <c r="S17" s="19" t="s">
        <v>21</v>
      </c>
      <c r="T17" s="20" t="s">
        <v>23</v>
      </c>
      <c r="U17" s="1"/>
      <c r="V17" s="1"/>
      <c r="W17" s="1"/>
      <c r="X17" s="1"/>
      <c r="Y17" s="1"/>
      <c r="Z17" s="1"/>
    </row>
    <row r="18" spans="1:26" ht="15.75" x14ac:dyDescent="0.25">
      <c r="A18" s="1"/>
      <c r="B18" s="84">
        <v>1401</v>
      </c>
      <c r="C18" s="85">
        <v>45657</v>
      </c>
      <c r="D18" s="85" t="s">
        <v>24</v>
      </c>
      <c r="E18" s="85" t="s">
        <v>25</v>
      </c>
      <c r="F18" s="86">
        <f t="shared" ref="F18:F66" si="0">I18/J18</f>
        <v>8.9250008756875193E-2</v>
      </c>
      <c r="G18" s="87">
        <v>42296.77</v>
      </c>
      <c r="H18" s="87">
        <f t="shared" ref="H18:H66" si="1">G18*5%</f>
        <v>2114.8384999999998</v>
      </c>
      <c r="I18" s="87">
        <f t="shared" ref="I18:I66" si="2">G18+H18</f>
        <v>44411.608499999995</v>
      </c>
      <c r="J18" s="88">
        <v>497609.01</v>
      </c>
      <c r="K18" s="89">
        <v>86</v>
      </c>
      <c r="L18" s="90">
        <v>497609.01</v>
      </c>
      <c r="M18" s="91">
        <v>86</v>
      </c>
      <c r="N18" s="92">
        <f>Collections!T5</f>
        <v>68691</v>
      </c>
      <c r="O18" s="93">
        <f>SUM(Collections!V5:W5)</f>
        <v>21756.84</v>
      </c>
      <c r="P18" s="92">
        <f t="shared" ref="P18" si="3">N18+O18</f>
        <v>90447.84</v>
      </c>
      <c r="Q18" s="94">
        <f t="shared" ref="Q18:Q29" si="4">N18/J18</f>
        <v>0.13804211463132471</v>
      </c>
      <c r="R18" s="94">
        <f t="shared" ref="R18:R29" si="5">P18/J18</f>
        <v>0.18176487600174279</v>
      </c>
      <c r="S18" s="95">
        <f t="shared" ref="S18:S29" si="6">N18/I18</f>
        <v>1.5466902082594016</v>
      </c>
      <c r="T18" s="96">
        <f t="shared" ref="T18:T29" si="7">P18/I18</f>
        <v>2.036581043895314</v>
      </c>
      <c r="U18" s="1"/>
      <c r="Z18" s="1"/>
    </row>
    <row r="19" spans="1:26" ht="15.75" x14ac:dyDescent="0.25">
      <c r="A19" s="1"/>
      <c r="B19" s="97" t="s">
        <v>26</v>
      </c>
      <c r="C19" s="73">
        <v>45657</v>
      </c>
      <c r="D19" s="73" t="s">
        <v>24</v>
      </c>
      <c r="E19" s="73" t="s">
        <v>27</v>
      </c>
      <c r="F19" s="74">
        <f t="shared" si="0"/>
        <v>7.3500004623779577E-2</v>
      </c>
      <c r="G19" s="75">
        <v>25433.74</v>
      </c>
      <c r="H19" s="75">
        <f t="shared" si="1"/>
        <v>1271.6870000000001</v>
      </c>
      <c r="I19" s="75">
        <f t="shared" si="2"/>
        <v>26705.427000000003</v>
      </c>
      <c r="J19" s="76">
        <v>363339.12</v>
      </c>
      <c r="K19" s="77">
        <v>70</v>
      </c>
      <c r="L19" s="78">
        <v>363339.12</v>
      </c>
      <c r="M19" s="79">
        <v>70</v>
      </c>
      <c r="N19" s="80">
        <f>Collections!T6</f>
        <v>16146.339999999998</v>
      </c>
      <c r="O19" s="81">
        <f>SUM(Collections!V6:W6)</f>
        <v>862.21</v>
      </c>
      <c r="P19" s="80">
        <f t="shared" ref="P19:P66" si="8">N19+O19</f>
        <v>17008.55</v>
      </c>
      <c r="Q19" s="82">
        <f t="shared" si="4"/>
        <v>4.4438760131306529E-2</v>
      </c>
      <c r="R19" s="82">
        <f t="shared" si="5"/>
        <v>4.6811777383068465E-2</v>
      </c>
      <c r="S19" s="83">
        <f t="shared" si="6"/>
        <v>0.60460894334323867</v>
      </c>
      <c r="T19" s="98">
        <f t="shared" si="7"/>
        <v>0.63689489031573987</v>
      </c>
      <c r="U19" s="1"/>
      <c r="Z19" s="1"/>
    </row>
    <row r="20" spans="1:26" ht="15.75" x14ac:dyDescent="0.25">
      <c r="A20" s="1"/>
      <c r="B20" s="97">
        <v>1402</v>
      </c>
      <c r="C20" s="73">
        <v>45688</v>
      </c>
      <c r="D20" s="73" t="s">
        <v>24</v>
      </c>
      <c r="E20" s="73" t="s">
        <v>28</v>
      </c>
      <c r="F20" s="74">
        <f t="shared" si="0"/>
        <v>8.9249978082919845E-2</v>
      </c>
      <c r="G20" s="75">
        <v>23618.560000000001</v>
      </c>
      <c r="H20" s="75">
        <f t="shared" si="1"/>
        <v>1180.9280000000001</v>
      </c>
      <c r="I20" s="75">
        <f t="shared" si="2"/>
        <v>24799.488000000001</v>
      </c>
      <c r="J20" s="76">
        <v>277865.48</v>
      </c>
      <c r="K20" s="77">
        <v>49</v>
      </c>
      <c r="L20" s="78">
        <f>277865.48-33284.45</f>
        <v>244581.02999999997</v>
      </c>
      <c r="M20" s="79">
        <v>44</v>
      </c>
      <c r="N20" s="80">
        <f>Collections!T7</f>
        <v>17799.670000000002</v>
      </c>
      <c r="O20" s="81">
        <f>SUM(Collections!V7:W7)</f>
        <v>18693.290000000005</v>
      </c>
      <c r="P20" s="80">
        <f t="shared" si="8"/>
        <v>36492.960000000006</v>
      </c>
      <c r="Q20" s="82">
        <f t="shared" si="4"/>
        <v>6.4058586910471949E-2</v>
      </c>
      <c r="R20" s="82">
        <f t="shared" si="5"/>
        <v>0.13133319043445055</v>
      </c>
      <c r="S20" s="83">
        <f t="shared" si="6"/>
        <v>0.71774344696148573</v>
      </c>
      <c r="T20" s="98">
        <f t="shared" si="7"/>
        <v>1.4715207023628878</v>
      </c>
      <c r="U20" s="1"/>
      <c r="Z20" s="1"/>
    </row>
    <row r="21" spans="1:26" ht="15.75" x14ac:dyDescent="0.25">
      <c r="A21" s="1"/>
      <c r="B21" s="97">
        <v>1403</v>
      </c>
      <c r="C21" s="73">
        <v>45719</v>
      </c>
      <c r="D21" s="73" t="s">
        <v>24</v>
      </c>
      <c r="E21" s="73" t="s">
        <v>29</v>
      </c>
      <c r="F21" s="74">
        <f t="shared" si="0"/>
        <v>8.9250009024774299E-2</v>
      </c>
      <c r="G21" s="75">
        <v>19778.89</v>
      </c>
      <c r="H21" s="75">
        <f t="shared" si="1"/>
        <v>988.94450000000006</v>
      </c>
      <c r="I21" s="75">
        <f t="shared" si="2"/>
        <v>20767.834500000001</v>
      </c>
      <c r="J21" s="76">
        <v>232692.8</v>
      </c>
      <c r="K21" s="77">
        <v>38</v>
      </c>
      <c r="L21" s="78">
        <f>232692.8-20765.42</f>
        <v>211927.38</v>
      </c>
      <c r="M21" s="79">
        <f>38-4</f>
        <v>34</v>
      </c>
      <c r="N21" s="80">
        <f>Collections!T8</f>
        <v>23136.489999999998</v>
      </c>
      <c r="O21" s="81">
        <f>SUM(Collections!V8:W8)</f>
        <v>10707.04</v>
      </c>
      <c r="P21" s="80">
        <f t="shared" si="8"/>
        <v>33843.53</v>
      </c>
      <c r="Q21" s="82">
        <f t="shared" si="4"/>
        <v>9.9429333438765616E-2</v>
      </c>
      <c r="R21" s="82">
        <f t="shared" si="5"/>
        <v>0.14544296170745291</v>
      </c>
      <c r="S21" s="83">
        <f t="shared" si="6"/>
        <v>1.1140540435258186</v>
      </c>
      <c r="T21" s="98">
        <f t="shared" si="7"/>
        <v>1.6296128515469437</v>
      </c>
      <c r="U21" s="1"/>
      <c r="Z21" s="1"/>
    </row>
    <row r="22" spans="1:26" ht="15.75" x14ac:dyDescent="0.25">
      <c r="A22" s="1"/>
      <c r="B22" s="97">
        <v>1404</v>
      </c>
      <c r="C22" s="73">
        <v>45749</v>
      </c>
      <c r="D22" s="73" t="s">
        <v>24</v>
      </c>
      <c r="E22" s="73" t="s">
        <v>30</v>
      </c>
      <c r="F22" s="74">
        <f t="shared" si="0"/>
        <v>8.9250003690024754E-2</v>
      </c>
      <c r="G22" s="75">
        <v>15721.44</v>
      </c>
      <c r="H22" s="75">
        <f t="shared" si="1"/>
        <v>786.07200000000012</v>
      </c>
      <c r="I22" s="75">
        <f t="shared" si="2"/>
        <v>16507.512000000002</v>
      </c>
      <c r="J22" s="76">
        <v>184958.11</v>
      </c>
      <c r="K22" s="77">
        <v>32</v>
      </c>
      <c r="L22" s="78">
        <f>184958.11-5856.15</f>
        <v>179101.96</v>
      </c>
      <c r="M22" s="79">
        <f>32-1</f>
        <v>31</v>
      </c>
      <c r="N22" s="80">
        <f>Collections!T9</f>
        <v>15924.310000000001</v>
      </c>
      <c r="O22" s="81">
        <f>SUM(Collections!V9:W9)</f>
        <v>7709.1200000000008</v>
      </c>
      <c r="P22" s="80">
        <f t="shared" si="8"/>
        <v>23633.43</v>
      </c>
      <c r="Q22" s="82">
        <f t="shared" si="4"/>
        <v>8.6096846469722266E-2</v>
      </c>
      <c r="R22" s="82">
        <f t="shared" si="5"/>
        <v>0.12777720317319421</v>
      </c>
      <c r="S22" s="83">
        <f t="shared" si="6"/>
        <v>0.96467050879623772</v>
      </c>
      <c r="T22" s="98">
        <f t="shared" si="7"/>
        <v>1.4316772872859336</v>
      </c>
      <c r="U22" s="1"/>
      <c r="Z22" s="1"/>
    </row>
    <row r="23" spans="1:26" ht="15.75" x14ac:dyDescent="0.25">
      <c r="A23" s="1"/>
      <c r="B23" s="97">
        <v>1405</v>
      </c>
      <c r="C23" s="73">
        <v>45776</v>
      </c>
      <c r="D23" s="73" t="s">
        <v>24</v>
      </c>
      <c r="E23" s="73" t="s">
        <v>31</v>
      </c>
      <c r="F23" s="74">
        <f t="shared" si="0"/>
        <v>8.9249998550665829E-2</v>
      </c>
      <c r="G23" s="75">
        <v>21553</v>
      </c>
      <c r="H23" s="75">
        <f t="shared" si="1"/>
        <v>1077.6500000000001</v>
      </c>
      <c r="I23" s="75">
        <f t="shared" si="2"/>
        <v>22630.65</v>
      </c>
      <c r="J23" s="76">
        <v>253564.71</v>
      </c>
      <c r="K23" s="77">
        <v>42</v>
      </c>
      <c r="L23" s="78">
        <f>253564.71-50395.61</f>
        <v>203169.09999999998</v>
      </c>
      <c r="M23" s="79">
        <f>42-8</f>
        <v>34</v>
      </c>
      <c r="N23" s="80">
        <f>Collections!T10</f>
        <v>15876</v>
      </c>
      <c r="O23" s="81">
        <f>SUM(Collections!V10:W10)</f>
        <v>14485.430000000002</v>
      </c>
      <c r="P23" s="80">
        <f t="shared" si="8"/>
        <v>30361.43</v>
      </c>
      <c r="Q23" s="82">
        <f t="shared" si="4"/>
        <v>6.261123639799876E-2</v>
      </c>
      <c r="R23" s="82">
        <f t="shared" si="5"/>
        <v>0.11973838946279236</v>
      </c>
      <c r="S23" s="83">
        <f t="shared" si="6"/>
        <v>0.7015264696329977</v>
      </c>
      <c r="T23" s="98">
        <f t="shared" si="7"/>
        <v>1.3416066264115258</v>
      </c>
      <c r="U23" s="1"/>
      <c r="Z23" s="1"/>
    </row>
    <row r="24" spans="1:26" ht="15.75" x14ac:dyDescent="0.25">
      <c r="A24" s="1"/>
      <c r="B24" s="97">
        <v>1406</v>
      </c>
      <c r="C24" s="73">
        <v>45806</v>
      </c>
      <c r="D24" s="73" t="s">
        <v>24</v>
      </c>
      <c r="E24" s="73" t="s">
        <v>32</v>
      </c>
      <c r="F24" s="74">
        <f t="shared" si="0"/>
        <v>8.9250014660342006E-2</v>
      </c>
      <c r="G24" s="75">
        <v>21611.88</v>
      </c>
      <c r="H24" s="75">
        <f t="shared" si="1"/>
        <v>1080.5940000000001</v>
      </c>
      <c r="I24" s="75">
        <f t="shared" si="2"/>
        <v>22692.474000000002</v>
      </c>
      <c r="J24" s="76">
        <v>254257.37</v>
      </c>
      <c r="K24" s="77">
        <v>44</v>
      </c>
      <c r="L24" s="78">
        <f>254257.37-30390.45</f>
        <v>223866.91999999998</v>
      </c>
      <c r="M24" s="79">
        <f>44-5</f>
        <v>39</v>
      </c>
      <c r="N24" s="80">
        <f>Collections!T11</f>
        <v>13618.739999999998</v>
      </c>
      <c r="O24" s="81">
        <f>SUM(Collections!V11:W11)</f>
        <v>12489.950000000008</v>
      </c>
      <c r="P24" s="80">
        <f t="shared" si="8"/>
        <v>26108.690000000006</v>
      </c>
      <c r="Q24" s="82">
        <f t="shared" si="4"/>
        <v>5.3562813144806772E-2</v>
      </c>
      <c r="R24" s="82">
        <f t="shared" si="5"/>
        <v>0.1026860696309413</v>
      </c>
      <c r="S24" s="83">
        <f t="shared" si="6"/>
        <v>0.60014346606720792</v>
      </c>
      <c r="T24" s="98">
        <f t="shared" si="7"/>
        <v>1.1505440085554357</v>
      </c>
      <c r="U24" s="1"/>
      <c r="Z24" s="1"/>
    </row>
    <row r="25" spans="1:26" ht="15.75" x14ac:dyDescent="0.25">
      <c r="A25" s="1"/>
      <c r="B25" s="97">
        <v>1407</v>
      </c>
      <c r="C25" s="73">
        <v>45835</v>
      </c>
      <c r="D25" s="73" t="s">
        <v>24</v>
      </c>
      <c r="E25" s="73" t="s">
        <v>33</v>
      </c>
      <c r="F25" s="74">
        <f t="shared" si="0"/>
        <v>8.9250013751496535E-2</v>
      </c>
      <c r="G25" s="75">
        <v>17523.55</v>
      </c>
      <c r="H25" s="75">
        <f t="shared" si="1"/>
        <v>876.17750000000001</v>
      </c>
      <c r="I25" s="75">
        <f t="shared" si="2"/>
        <v>18399.727500000001</v>
      </c>
      <c r="J25" s="76">
        <v>206159.38</v>
      </c>
      <c r="K25" s="77">
        <v>31</v>
      </c>
      <c r="L25" s="78">
        <f>206159.38-30996.8</f>
        <v>175162.58000000002</v>
      </c>
      <c r="M25" s="79">
        <f>31-5</f>
        <v>26</v>
      </c>
      <c r="N25" s="80">
        <f>Collections!T12</f>
        <v>17806.580000000002</v>
      </c>
      <c r="O25" s="81">
        <f>SUM(Collections!V12:W12)</f>
        <v>5791.7000000000007</v>
      </c>
      <c r="P25" s="80">
        <f t="shared" si="8"/>
        <v>23598.280000000002</v>
      </c>
      <c r="Q25" s="82">
        <f t="shared" si="4"/>
        <v>8.6372882960746203E-2</v>
      </c>
      <c r="R25" s="82">
        <f t="shared" si="5"/>
        <v>0.11446619600815641</v>
      </c>
      <c r="S25" s="83">
        <f t="shared" si="6"/>
        <v>0.96776324540675951</v>
      </c>
      <c r="T25" s="98">
        <f t="shared" si="7"/>
        <v>1.282534211444164</v>
      </c>
      <c r="U25" s="1"/>
      <c r="Z25" s="1"/>
    </row>
    <row r="26" spans="1:26" ht="15.75" x14ac:dyDescent="0.25">
      <c r="A26" s="1"/>
      <c r="B26" s="97">
        <v>1408</v>
      </c>
      <c r="C26" s="73">
        <v>45866</v>
      </c>
      <c r="D26" s="73" t="s">
        <v>24</v>
      </c>
      <c r="E26" s="72" t="s">
        <v>34</v>
      </c>
      <c r="F26" s="74">
        <f t="shared" si="0"/>
        <v>8.9249990890032133E-2</v>
      </c>
      <c r="G26" s="75">
        <v>41637.08</v>
      </c>
      <c r="H26" s="75">
        <f t="shared" si="1"/>
        <v>2081.8540000000003</v>
      </c>
      <c r="I26" s="75">
        <f t="shared" si="2"/>
        <v>43718.934000000001</v>
      </c>
      <c r="J26" s="76">
        <v>489848.05</v>
      </c>
      <c r="K26" s="77">
        <v>85</v>
      </c>
      <c r="L26" s="78">
        <f>489848.05-69382.03</f>
        <v>420466.02</v>
      </c>
      <c r="M26" s="79">
        <f>85-10</f>
        <v>75</v>
      </c>
      <c r="N26" s="80">
        <f>Collections!T13</f>
        <v>40887.299999999996</v>
      </c>
      <c r="O26" s="81">
        <f>SUM(Collections!V13:W13)</f>
        <v>48804.01</v>
      </c>
      <c r="P26" s="80">
        <f t="shared" si="8"/>
        <v>89691.31</v>
      </c>
      <c r="Q26" s="82">
        <f t="shared" si="4"/>
        <v>8.3469353404591481E-2</v>
      </c>
      <c r="R26" s="82">
        <f t="shared" si="5"/>
        <v>0.18310026956318393</v>
      </c>
      <c r="S26" s="83">
        <f t="shared" si="6"/>
        <v>0.93523094593294509</v>
      </c>
      <c r="T26" s="98">
        <f t="shared" si="7"/>
        <v>2.051543845968431</v>
      </c>
      <c r="U26" s="1"/>
      <c r="Z26" s="1"/>
    </row>
    <row r="27" spans="1:26" ht="15.75" x14ac:dyDescent="0.25">
      <c r="A27" s="1"/>
      <c r="B27" s="97">
        <v>1409</v>
      </c>
      <c r="C27" s="73">
        <v>45896</v>
      </c>
      <c r="D27" s="73" t="s">
        <v>24</v>
      </c>
      <c r="E27" s="72" t="s">
        <v>35</v>
      </c>
      <c r="F27" s="74">
        <f t="shared" si="0"/>
        <v>8.9249998307408762E-2</v>
      </c>
      <c r="G27" s="75">
        <v>31637.88</v>
      </c>
      <c r="H27" s="75">
        <f t="shared" si="1"/>
        <v>1581.8940000000002</v>
      </c>
      <c r="I27" s="75">
        <f t="shared" si="2"/>
        <v>33219.774000000005</v>
      </c>
      <c r="J27" s="76">
        <v>372210.36</v>
      </c>
      <c r="K27" s="77">
        <v>64</v>
      </c>
      <c r="L27" s="78">
        <f>372210.36-84270.01</f>
        <v>287940.34999999998</v>
      </c>
      <c r="M27" s="79">
        <f>64-13</f>
        <v>51</v>
      </c>
      <c r="N27" s="80">
        <f>Collections!T14</f>
        <v>17055.379999999997</v>
      </c>
      <c r="O27" s="81">
        <f>SUM(Collections!V14:W14)</f>
        <v>46964.000000000029</v>
      </c>
      <c r="P27" s="80">
        <f t="shared" si="8"/>
        <v>64019.380000000026</v>
      </c>
      <c r="Q27" s="82">
        <f t="shared" si="4"/>
        <v>4.5821884162493484E-2</v>
      </c>
      <c r="R27" s="82">
        <f t="shared" si="5"/>
        <v>0.17199784551939937</v>
      </c>
      <c r="S27" s="83">
        <f t="shared" si="6"/>
        <v>0.51341047654327798</v>
      </c>
      <c r="T27" s="98">
        <f t="shared" si="7"/>
        <v>1.9271467650562588</v>
      </c>
      <c r="U27" s="1"/>
      <c r="Z27" s="1"/>
    </row>
    <row r="28" spans="1:26" ht="15.75" x14ac:dyDescent="0.25">
      <c r="A28" s="1"/>
      <c r="B28" s="97">
        <v>1410</v>
      </c>
      <c r="C28" s="73">
        <v>45930</v>
      </c>
      <c r="D28" s="73" t="s">
        <v>24</v>
      </c>
      <c r="E28" s="72" t="s">
        <v>36</v>
      </c>
      <c r="F28" s="74">
        <f t="shared" si="0"/>
        <v>8.9249997384094185E-2</v>
      </c>
      <c r="G28" s="75">
        <v>40941.839999999997</v>
      </c>
      <c r="H28" s="75">
        <f t="shared" si="1"/>
        <v>2047.0919999999999</v>
      </c>
      <c r="I28" s="75">
        <f t="shared" si="2"/>
        <v>42988.931999999993</v>
      </c>
      <c r="J28" s="76">
        <v>481668.72</v>
      </c>
      <c r="K28" s="77">
        <v>84</v>
      </c>
      <c r="L28" s="78">
        <v>481668.72</v>
      </c>
      <c r="M28" s="79">
        <v>84</v>
      </c>
      <c r="N28" s="80">
        <f>Collections!T15</f>
        <v>15569.380000000001</v>
      </c>
      <c r="O28" s="81">
        <f>SUM(Collections!V15:W15)</f>
        <v>20246.36</v>
      </c>
      <c r="P28" s="80">
        <f t="shared" si="8"/>
        <v>35815.740000000005</v>
      </c>
      <c r="Q28" s="82">
        <f t="shared" si="4"/>
        <v>3.2323834522615467E-2</v>
      </c>
      <c r="R28" s="82">
        <f t="shared" si="5"/>
        <v>7.4357620731526866E-2</v>
      </c>
      <c r="S28" s="83">
        <f t="shared" si="6"/>
        <v>0.36217182599465375</v>
      </c>
      <c r="T28" s="98">
        <f t="shared" si="7"/>
        <v>0.83313863205533956</v>
      </c>
      <c r="U28" s="1"/>
      <c r="Z28" s="1"/>
    </row>
    <row r="29" spans="1:26" ht="15.75" x14ac:dyDescent="0.25">
      <c r="A29" s="1"/>
      <c r="B29" s="97">
        <v>1411</v>
      </c>
      <c r="C29" s="73">
        <v>45959</v>
      </c>
      <c r="D29" s="73" t="s">
        <v>24</v>
      </c>
      <c r="E29" s="72" t="s">
        <v>107</v>
      </c>
      <c r="F29" s="74">
        <f t="shared" si="0"/>
        <v>8.9250005354973544E-2</v>
      </c>
      <c r="G29" s="75">
        <v>40000.199999999997</v>
      </c>
      <c r="H29" s="75">
        <f t="shared" si="1"/>
        <v>2000.01</v>
      </c>
      <c r="I29" s="75">
        <f t="shared" si="2"/>
        <v>42000.21</v>
      </c>
      <c r="J29" s="76">
        <v>470590.56</v>
      </c>
      <c r="K29" s="77">
        <v>83</v>
      </c>
      <c r="L29" s="78">
        <v>470590.56</v>
      </c>
      <c r="M29" s="79">
        <v>83</v>
      </c>
      <c r="N29" s="80">
        <f>Collections!T16</f>
        <v>9438.66</v>
      </c>
      <c r="O29" s="81">
        <f>SUM(Collections!V16:W16)</f>
        <v>31754.670000000013</v>
      </c>
      <c r="P29" s="80">
        <f t="shared" si="8"/>
        <v>41193.330000000016</v>
      </c>
      <c r="Q29" s="82">
        <f t="shared" si="4"/>
        <v>2.0057053418156116E-2</v>
      </c>
      <c r="R29" s="82">
        <f t="shared" si="5"/>
        <v>8.7535393825154545E-2</v>
      </c>
      <c r="S29" s="83">
        <f t="shared" si="6"/>
        <v>0.22472887635561822</v>
      </c>
      <c r="T29" s="98">
        <f t="shared" si="7"/>
        <v>0.98078866748523441</v>
      </c>
      <c r="U29" s="1"/>
      <c r="Z29" s="1"/>
    </row>
    <row r="30" spans="1:26" ht="15.75" x14ac:dyDescent="0.25">
      <c r="A30" s="1"/>
      <c r="B30" s="145">
        <v>1412</v>
      </c>
      <c r="C30" s="152">
        <v>45986</v>
      </c>
      <c r="D30" s="152" t="s">
        <v>24</v>
      </c>
      <c r="E30" s="151" t="s">
        <v>120</v>
      </c>
      <c r="F30" s="163">
        <f t="shared" si="0"/>
        <v>8.9249989257767434E-2</v>
      </c>
      <c r="G30" s="164">
        <v>29909.98</v>
      </c>
      <c r="H30" s="164">
        <f t="shared" si="1"/>
        <v>1495.499</v>
      </c>
      <c r="I30" s="164">
        <f t="shared" si="2"/>
        <v>31405.478999999999</v>
      </c>
      <c r="J30" s="76">
        <v>351882.16</v>
      </c>
      <c r="K30" s="77">
        <v>62</v>
      </c>
      <c r="L30" s="78">
        <v>351882.16</v>
      </c>
      <c r="M30" s="79">
        <v>62</v>
      </c>
      <c r="N30" s="80">
        <f>Collections!T17</f>
        <v>11475.369999999999</v>
      </c>
      <c r="O30" s="81">
        <f>SUM(Collections!V17:W17)</f>
        <v>19321.84</v>
      </c>
      <c r="P30" s="80">
        <f t="shared" si="8"/>
        <v>30797.21</v>
      </c>
      <c r="Q30" s="82">
        <f t="shared" ref="Q30:Q67" si="9">N30/J30</f>
        <v>3.2611400361984816E-2</v>
      </c>
      <c r="R30" s="82">
        <f t="shared" ref="R30:R67" si="10">P30/J30</f>
        <v>8.7521373632582E-2</v>
      </c>
      <c r="S30" s="83">
        <f t="shared" ref="S30:S66" si="11">N30/I30</f>
        <v>0.36539388557009428</v>
      </c>
      <c r="T30" s="98">
        <f t="shared" ref="T30:T66" si="12">P30/I30</f>
        <v>0.98063175536981939</v>
      </c>
      <c r="U30" s="1"/>
      <c r="Z30" s="1"/>
    </row>
    <row r="31" spans="1:26" ht="15.75" x14ac:dyDescent="0.25">
      <c r="A31" s="1"/>
      <c r="B31" s="145">
        <v>1413</v>
      </c>
      <c r="C31" s="152">
        <v>46021</v>
      </c>
      <c r="D31" s="152" t="s">
        <v>127</v>
      </c>
      <c r="E31" s="151" t="s">
        <v>120</v>
      </c>
      <c r="F31" s="163">
        <f t="shared" si="0"/>
        <v>8.9250006654400471E-2</v>
      </c>
      <c r="G31" s="164">
        <v>43589.58</v>
      </c>
      <c r="H31" s="164">
        <f t="shared" si="1"/>
        <v>2179.4790000000003</v>
      </c>
      <c r="I31" s="164">
        <f t="shared" si="2"/>
        <v>45769.059000000001</v>
      </c>
      <c r="J31" s="76">
        <v>512818.55</v>
      </c>
      <c r="K31" s="77">
        <v>86</v>
      </c>
      <c r="L31" s="78">
        <v>512818.55</v>
      </c>
      <c r="M31" s="79">
        <v>86</v>
      </c>
      <c r="N31" s="80">
        <f>Collections!T18</f>
        <v>448.4</v>
      </c>
      <c r="O31" s="81">
        <f>SUM(Collections!V18:W18)</f>
        <v>16304.000000000002</v>
      </c>
      <c r="P31" s="80">
        <f t="shared" si="8"/>
        <v>16752.400000000001</v>
      </c>
      <c r="Q31" s="82">
        <f t="shared" si="9"/>
        <v>8.7438334670225952E-4</v>
      </c>
      <c r="R31" s="82">
        <f t="shared" si="10"/>
        <v>3.2667305034110021E-2</v>
      </c>
      <c r="S31" s="83">
        <f t="shared" si="11"/>
        <v>9.7970115575240456E-3</v>
      </c>
      <c r="T31" s="98">
        <f t="shared" si="12"/>
        <v>0.36602019718168122</v>
      </c>
      <c r="U31" s="1"/>
      <c r="Z31" s="1"/>
    </row>
    <row r="32" spans="1:26" ht="15.75" x14ac:dyDescent="0.25">
      <c r="A32" s="1"/>
      <c r="B32" s="145">
        <v>1414</v>
      </c>
      <c r="C32" s="152">
        <v>46052</v>
      </c>
      <c r="D32" s="152" t="s">
        <v>127</v>
      </c>
      <c r="E32" s="151" t="s">
        <v>120</v>
      </c>
      <c r="F32" s="163">
        <f t="shared" si="0"/>
        <v>8.925000389045222E-2</v>
      </c>
      <c r="G32" s="164">
        <v>43587.48</v>
      </c>
      <c r="H32" s="164">
        <f t="shared" si="1"/>
        <v>2179.3740000000003</v>
      </c>
      <c r="I32" s="164">
        <f t="shared" si="2"/>
        <v>45766.854000000007</v>
      </c>
      <c r="J32" s="76">
        <v>512793.86</v>
      </c>
      <c r="K32" s="77">
        <v>89</v>
      </c>
      <c r="L32" s="78">
        <v>512793.86</v>
      </c>
      <c r="M32" s="79">
        <v>89</v>
      </c>
      <c r="N32" s="80">
        <f>Collections!T19</f>
        <v>0</v>
      </c>
      <c r="O32" s="81">
        <f>SUM(Collections!V19:W19)</f>
        <v>0</v>
      </c>
      <c r="P32" s="80">
        <f t="shared" si="8"/>
        <v>0</v>
      </c>
      <c r="Q32" s="82">
        <f t="shared" si="9"/>
        <v>0</v>
      </c>
      <c r="R32" s="82">
        <f t="shared" si="10"/>
        <v>0</v>
      </c>
      <c r="S32" s="83">
        <f t="shared" si="11"/>
        <v>0</v>
      </c>
      <c r="T32" s="98">
        <f t="shared" si="12"/>
        <v>0</v>
      </c>
      <c r="U32" s="1"/>
      <c r="Z32" s="1"/>
    </row>
    <row r="33" spans="1:26" ht="15.75" x14ac:dyDescent="0.25">
      <c r="A33" s="1"/>
      <c r="B33" s="97">
        <v>1501</v>
      </c>
      <c r="C33" s="73">
        <v>45719</v>
      </c>
      <c r="D33" s="73" t="s">
        <v>37</v>
      </c>
      <c r="E33" s="73" t="s">
        <v>38</v>
      </c>
      <c r="F33" s="74">
        <f t="shared" si="0"/>
        <v>6.8250001004874827E-2</v>
      </c>
      <c r="G33" s="75">
        <v>163005.38</v>
      </c>
      <c r="H33" s="75">
        <f t="shared" si="1"/>
        <v>8150.2690000000002</v>
      </c>
      <c r="I33" s="75">
        <f t="shared" si="2"/>
        <v>171155.649</v>
      </c>
      <c r="J33" s="76">
        <v>2507775.04</v>
      </c>
      <c r="K33" s="77">
        <v>845</v>
      </c>
      <c r="L33" s="78">
        <v>2507775.04</v>
      </c>
      <c r="M33" s="79">
        <v>845</v>
      </c>
      <c r="N33" s="80">
        <f>Collections!T20</f>
        <v>169949.47000000003</v>
      </c>
      <c r="O33" s="81">
        <f>SUM(Collections!V20:W20)</f>
        <v>66877.990000000005</v>
      </c>
      <c r="P33" s="80">
        <f t="shared" si="8"/>
        <v>236827.46000000002</v>
      </c>
      <c r="Q33" s="82">
        <f t="shared" si="9"/>
        <v>6.7769025247176887E-2</v>
      </c>
      <c r="R33" s="82">
        <f t="shared" si="10"/>
        <v>9.4437282540303147E-2</v>
      </c>
      <c r="S33" s="83">
        <f t="shared" si="11"/>
        <v>0.99295273625470593</v>
      </c>
      <c r="T33" s="98">
        <f t="shared" si="12"/>
        <v>1.3836964271041969</v>
      </c>
      <c r="U33" s="1"/>
      <c r="Z33" s="1"/>
    </row>
    <row r="34" spans="1:26" ht="15.75" x14ac:dyDescent="0.25">
      <c r="A34" s="1"/>
      <c r="B34" s="97" t="s">
        <v>39</v>
      </c>
      <c r="C34" s="73">
        <v>45747</v>
      </c>
      <c r="D34" s="73" t="s">
        <v>37</v>
      </c>
      <c r="E34" s="73" t="s">
        <v>40</v>
      </c>
      <c r="F34" s="74">
        <f t="shared" si="0"/>
        <v>6.8249999642961592E-2</v>
      </c>
      <c r="G34" s="75">
        <v>162482.51999999999</v>
      </c>
      <c r="H34" s="75">
        <f t="shared" si="1"/>
        <v>8124.1260000000002</v>
      </c>
      <c r="I34" s="75">
        <f t="shared" si="2"/>
        <v>170606.64599999998</v>
      </c>
      <c r="J34" s="76">
        <v>2499731.09</v>
      </c>
      <c r="K34" s="77">
        <v>946</v>
      </c>
      <c r="L34" s="78">
        <f>2499731.09-149007.33</f>
        <v>2350723.7599999998</v>
      </c>
      <c r="M34" s="79">
        <f>946-45</f>
        <v>901</v>
      </c>
      <c r="N34" s="80">
        <f>Collections!T21</f>
        <v>117346.45</v>
      </c>
      <c r="O34" s="81">
        <f>SUM(Collections!V21:W21)</f>
        <v>79331.620000000024</v>
      </c>
      <c r="P34" s="80">
        <f t="shared" si="8"/>
        <v>196678.07</v>
      </c>
      <c r="Q34" s="82">
        <f t="shared" si="9"/>
        <v>4.6943629444557579E-2</v>
      </c>
      <c r="R34" s="82">
        <f t="shared" si="10"/>
        <v>7.8679691102293739E-2</v>
      </c>
      <c r="S34" s="83">
        <f t="shared" si="11"/>
        <v>0.68781875003861226</v>
      </c>
      <c r="T34" s="98">
        <f t="shared" si="12"/>
        <v>1.1528159928775579</v>
      </c>
      <c r="U34" s="1"/>
      <c r="Z34" s="1"/>
    </row>
    <row r="35" spans="1:26" ht="15.75" x14ac:dyDescent="0.25">
      <c r="A35" s="1"/>
      <c r="B35" s="97" t="s">
        <v>41</v>
      </c>
      <c r="C35" s="73">
        <v>45747</v>
      </c>
      <c r="D35" s="73" t="s">
        <v>37</v>
      </c>
      <c r="E35" s="73" t="s">
        <v>42</v>
      </c>
      <c r="F35" s="74">
        <f t="shared" si="0"/>
        <v>6.8249999413080298E-2</v>
      </c>
      <c r="G35" s="75">
        <v>162799.1</v>
      </c>
      <c r="H35" s="75">
        <f t="shared" si="1"/>
        <v>8139.9550000000008</v>
      </c>
      <c r="I35" s="75">
        <f t="shared" si="2"/>
        <v>170939.05499999999</v>
      </c>
      <c r="J35" s="76">
        <v>2504601.56</v>
      </c>
      <c r="K35" s="77">
        <v>884</v>
      </c>
      <c r="L35" s="78">
        <f>2504601.56-123477.03</f>
        <v>2381124.5300000003</v>
      </c>
      <c r="M35" s="79">
        <f>884-44</f>
        <v>840</v>
      </c>
      <c r="N35" s="80">
        <f>Collections!T22</f>
        <v>182639.61</v>
      </c>
      <c r="O35" s="81">
        <f>SUM(Collections!V22:W22)</f>
        <v>73813.680000000008</v>
      </c>
      <c r="P35" s="80">
        <f t="shared" si="8"/>
        <v>256453.28999999998</v>
      </c>
      <c r="Q35" s="82">
        <f t="shared" si="9"/>
        <v>7.2921622711118961E-2</v>
      </c>
      <c r="R35" s="82">
        <f t="shared" si="10"/>
        <v>0.10239284926421589</v>
      </c>
      <c r="S35" s="83">
        <f t="shared" si="11"/>
        <v>1.068448693600184</v>
      </c>
      <c r="T35" s="98">
        <f t="shared" si="12"/>
        <v>1.5002615405824022</v>
      </c>
      <c r="U35" s="1"/>
      <c r="Z35" s="1"/>
    </row>
    <row r="36" spans="1:26" ht="15.75" x14ac:dyDescent="0.25">
      <c r="A36" s="1"/>
      <c r="B36" s="97" t="s">
        <v>43</v>
      </c>
      <c r="C36" s="73">
        <v>45776</v>
      </c>
      <c r="D36" s="73" t="s">
        <v>37</v>
      </c>
      <c r="E36" s="73" t="s">
        <v>44</v>
      </c>
      <c r="F36" s="74">
        <f t="shared" si="0"/>
        <v>6.8249999496579228E-2</v>
      </c>
      <c r="G36" s="75">
        <v>162686.97</v>
      </c>
      <c r="H36" s="75">
        <f t="shared" si="1"/>
        <v>8134.3485000000001</v>
      </c>
      <c r="I36" s="75">
        <f t="shared" si="2"/>
        <v>170821.31849999999</v>
      </c>
      <c r="J36" s="76">
        <v>2502876.48</v>
      </c>
      <c r="K36" s="77">
        <v>924</v>
      </c>
      <c r="L36" s="78">
        <f>2502876.48-204335.4</f>
        <v>2298541.08</v>
      </c>
      <c r="M36" s="79">
        <f>924-63</f>
        <v>861</v>
      </c>
      <c r="N36" s="80">
        <f>Collections!T23</f>
        <v>96931.23000000001</v>
      </c>
      <c r="O36" s="81">
        <f>SUM(Collections!V23:W23)</f>
        <v>64268.11</v>
      </c>
      <c r="P36" s="80">
        <f t="shared" si="8"/>
        <v>161199.34000000003</v>
      </c>
      <c r="Q36" s="82">
        <f t="shared" si="9"/>
        <v>3.8727931951320273E-2</v>
      </c>
      <c r="R36" s="82">
        <f t="shared" si="10"/>
        <v>6.4405631395761095E-2</v>
      </c>
      <c r="S36" s="83">
        <f t="shared" si="11"/>
        <v>0.56744223057849785</v>
      </c>
      <c r="T36" s="98">
        <f t="shared" si="12"/>
        <v>0.94367226184359432</v>
      </c>
      <c r="U36" s="1"/>
      <c r="Z36" s="1"/>
    </row>
    <row r="37" spans="1:26" ht="15.75" x14ac:dyDescent="0.25">
      <c r="A37" s="1"/>
      <c r="B37" s="97" t="s">
        <v>45</v>
      </c>
      <c r="C37" s="73">
        <v>45776</v>
      </c>
      <c r="D37" s="73" t="s">
        <v>37</v>
      </c>
      <c r="E37" s="73" t="s">
        <v>46</v>
      </c>
      <c r="F37" s="74">
        <f t="shared" si="0"/>
        <v>6.8249999580696608E-2</v>
      </c>
      <c r="G37" s="75">
        <v>162769.97</v>
      </c>
      <c r="H37" s="75">
        <f t="shared" si="1"/>
        <v>8138.4985000000006</v>
      </c>
      <c r="I37" s="75">
        <f t="shared" si="2"/>
        <v>170908.46849999999</v>
      </c>
      <c r="J37" s="76">
        <v>2504153.4</v>
      </c>
      <c r="K37" s="77">
        <v>846</v>
      </c>
      <c r="L37" s="78">
        <f>2504153.4-170693.92</f>
        <v>2333459.48</v>
      </c>
      <c r="M37" s="79">
        <f>846-50</f>
        <v>796</v>
      </c>
      <c r="N37" s="80">
        <f>Collections!T24</f>
        <v>88008.5</v>
      </c>
      <c r="O37" s="81">
        <f>SUM(Collections!V24:W24)</f>
        <v>62639.659999999982</v>
      </c>
      <c r="P37" s="80">
        <f t="shared" si="8"/>
        <v>150648.15999999997</v>
      </c>
      <c r="Q37" s="82">
        <f t="shared" si="9"/>
        <v>3.5145011483721407E-2</v>
      </c>
      <c r="R37" s="82">
        <f t="shared" si="10"/>
        <v>6.0159317715919473E-2</v>
      </c>
      <c r="S37" s="83">
        <f t="shared" si="11"/>
        <v>0.51494522636834705</v>
      </c>
      <c r="T37" s="98">
        <f t="shared" si="12"/>
        <v>0.88145521004419969</v>
      </c>
      <c r="U37" s="1"/>
      <c r="Z37" s="1"/>
    </row>
    <row r="38" spans="1:26" ht="15.75" x14ac:dyDescent="0.25">
      <c r="A38" s="1"/>
      <c r="B38" s="97" t="s">
        <v>47</v>
      </c>
      <c r="C38" s="73">
        <v>45806</v>
      </c>
      <c r="D38" s="73" t="s">
        <v>37</v>
      </c>
      <c r="E38" s="73" t="s">
        <v>48</v>
      </c>
      <c r="F38" s="74">
        <f t="shared" si="0"/>
        <v>6.8249998803192394E-2</v>
      </c>
      <c r="G38" s="75">
        <v>162526.12</v>
      </c>
      <c r="H38" s="75">
        <f t="shared" si="1"/>
        <v>8126.3060000000005</v>
      </c>
      <c r="I38" s="75">
        <f t="shared" si="2"/>
        <v>170652.42600000001</v>
      </c>
      <c r="J38" s="76">
        <v>2500401.89</v>
      </c>
      <c r="K38" s="77">
        <v>954</v>
      </c>
      <c r="L38" s="78">
        <f>2500401.89-155548.17</f>
        <v>2344853.7200000002</v>
      </c>
      <c r="M38" s="79">
        <f>954-45</f>
        <v>909</v>
      </c>
      <c r="N38" s="80">
        <f>Collections!T25</f>
        <v>80121.350000000006</v>
      </c>
      <c r="O38" s="81">
        <f>SUM(Collections!V25:W25)</f>
        <v>79574.169999999984</v>
      </c>
      <c r="P38" s="80">
        <f t="shared" si="8"/>
        <v>159695.51999999999</v>
      </c>
      <c r="Q38" s="82">
        <f t="shared" si="9"/>
        <v>3.2043388832984764E-2</v>
      </c>
      <c r="R38" s="82">
        <f t="shared" si="10"/>
        <v>6.3867940845301466E-2</v>
      </c>
      <c r="S38" s="83">
        <f t="shared" si="11"/>
        <v>0.46950021091408334</v>
      </c>
      <c r="T38" s="98">
        <f t="shared" si="12"/>
        <v>0.93579402146911161</v>
      </c>
      <c r="U38" s="1"/>
      <c r="Z38" s="1"/>
    </row>
    <row r="39" spans="1:26" ht="15.75" x14ac:dyDescent="0.25">
      <c r="A39" s="1"/>
      <c r="B39" s="97" t="s">
        <v>49</v>
      </c>
      <c r="C39" s="73">
        <v>45806</v>
      </c>
      <c r="D39" s="73" t="s">
        <v>37</v>
      </c>
      <c r="E39" s="73" t="s">
        <v>50</v>
      </c>
      <c r="F39" s="74">
        <f t="shared" si="0"/>
        <v>6.8249998804163256E-2</v>
      </c>
      <c r="G39" s="75">
        <v>162658.07</v>
      </c>
      <c r="H39" s="75">
        <f t="shared" si="1"/>
        <v>8132.9035000000003</v>
      </c>
      <c r="I39" s="75">
        <f t="shared" si="2"/>
        <v>170790.97350000002</v>
      </c>
      <c r="J39" s="76">
        <v>2502431.89</v>
      </c>
      <c r="K39" s="77">
        <v>775</v>
      </c>
      <c r="L39" s="78">
        <f>2502431.89-186586.29</f>
        <v>2315845.6</v>
      </c>
      <c r="M39" s="79">
        <f>775-46</f>
        <v>729</v>
      </c>
      <c r="N39" s="80">
        <f>Collections!T26</f>
        <v>85253.72</v>
      </c>
      <c r="O39" s="81">
        <f>SUM(Collections!V26:W26)</f>
        <v>79019.039999999994</v>
      </c>
      <c r="P39" s="80">
        <f t="shared" si="8"/>
        <v>164272.76</v>
      </c>
      <c r="Q39" s="82">
        <f t="shared" si="9"/>
        <v>3.4068347810257485E-2</v>
      </c>
      <c r="R39" s="82">
        <f t="shared" si="10"/>
        <v>6.5645247191922579E-2</v>
      </c>
      <c r="S39" s="83">
        <f t="shared" si="11"/>
        <v>0.49916994003198883</v>
      </c>
      <c r="T39" s="98">
        <f t="shared" si="12"/>
        <v>0.96183514054388819</v>
      </c>
      <c r="U39" s="1"/>
      <c r="Z39" s="1"/>
    </row>
    <row r="40" spans="1:26" ht="15.75" x14ac:dyDescent="0.25">
      <c r="A40" s="1"/>
      <c r="B40" s="97" t="s">
        <v>51</v>
      </c>
      <c r="C40" s="73">
        <v>45835</v>
      </c>
      <c r="D40" s="73" t="s">
        <v>37</v>
      </c>
      <c r="E40" s="73" t="s">
        <v>52</v>
      </c>
      <c r="F40" s="74">
        <f t="shared" si="0"/>
        <v>6.8249998553994468E-2</v>
      </c>
      <c r="G40" s="75">
        <v>162836.51</v>
      </c>
      <c r="H40" s="75">
        <f t="shared" si="1"/>
        <v>8141.8255000000008</v>
      </c>
      <c r="I40" s="75">
        <f t="shared" si="2"/>
        <v>170978.33550000002</v>
      </c>
      <c r="J40" s="76">
        <v>2505177.13</v>
      </c>
      <c r="K40" s="77">
        <v>908</v>
      </c>
      <c r="L40" s="78">
        <f>2505177.13-228091.13</f>
        <v>2277086</v>
      </c>
      <c r="M40" s="79">
        <f>908-69</f>
        <v>839</v>
      </c>
      <c r="N40" s="80">
        <f>Collections!T27</f>
        <v>69492.31</v>
      </c>
      <c r="O40" s="81">
        <f>SUM(Collections!V27:W27)</f>
        <v>68745.459999999992</v>
      </c>
      <c r="P40" s="80">
        <f t="shared" si="8"/>
        <v>138237.76999999999</v>
      </c>
      <c r="Q40" s="82">
        <f t="shared" si="9"/>
        <v>2.7739479643102125E-2</v>
      </c>
      <c r="R40" s="82">
        <f t="shared" si="10"/>
        <v>5.5180836654053281E-2</v>
      </c>
      <c r="S40" s="83">
        <f t="shared" si="11"/>
        <v>0.40643927078118031</v>
      </c>
      <c r="T40" s="98">
        <f t="shared" si="12"/>
        <v>0.80851044429544106</v>
      </c>
      <c r="U40" s="1"/>
      <c r="Z40" s="1"/>
    </row>
    <row r="41" spans="1:26" ht="15.75" x14ac:dyDescent="0.25">
      <c r="A41" s="1"/>
      <c r="B41" s="97" t="s">
        <v>53</v>
      </c>
      <c r="C41" s="73">
        <v>45835</v>
      </c>
      <c r="D41" s="73" t="s">
        <v>37</v>
      </c>
      <c r="E41" s="73" t="s">
        <v>54</v>
      </c>
      <c r="F41" s="74">
        <f t="shared" si="0"/>
        <v>6.8249999350015494E-2</v>
      </c>
      <c r="G41" s="75">
        <v>162753.88</v>
      </c>
      <c r="H41" s="75">
        <f t="shared" si="1"/>
        <v>8137.6940000000004</v>
      </c>
      <c r="I41" s="75">
        <f t="shared" si="2"/>
        <v>170891.57399999999</v>
      </c>
      <c r="J41" s="76">
        <v>2503905.87</v>
      </c>
      <c r="K41" s="77">
        <v>840</v>
      </c>
      <c r="L41" s="78">
        <f>2503905.87-196678.51</f>
        <v>2307227.3600000003</v>
      </c>
      <c r="M41" s="79">
        <f>840-54</f>
        <v>786</v>
      </c>
      <c r="N41" s="80">
        <f>Collections!T28</f>
        <v>51741.66</v>
      </c>
      <c r="O41" s="81">
        <f>SUM(Collections!V28:W28)</f>
        <v>59629.609999999986</v>
      </c>
      <c r="P41" s="80">
        <f t="shared" si="8"/>
        <v>111371.26999999999</v>
      </c>
      <c r="Q41" s="82">
        <f t="shared" si="9"/>
        <v>2.0664379048721988E-2</v>
      </c>
      <c r="R41" s="82">
        <f t="shared" si="10"/>
        <v>4.4479016297845085E-2</v>
      </c>
      <c r="S41" s="83">
        <f t="shared" si="11"/>
        <v>0.30277478748015985</v>
      </c>
      <c r="T41" s="98">
        <f t="shared" si="12"/>
        <v>0.65170720470981203</v>
      </c>
      <c r="U41" s="1"/>
      <c r="Z41" s="1"/>
    </row>
    <row r="42" spans="1:26" ht="15.75" x14ac:dyDescent="0.25">
      <c r="A42" s="1"/>
      <c r="B42" s="97" t="s">
        <v>55</v>
      </c>
      <c r="C42" s="73">
        <v>45866</v>
      </c>
      <c r="D42" s="73" t="s">
        <v>37</v>
      </c>
      <c r="E42" s="73" t="s">
        <v>56</v>
      </c>
      <c r="F42" s="74">
        <f t="shared" si="0"/>
        <v>6.8249998717497776E-2</v>
      </c>
      <c r="G42" s="75">
        <v>236812.45</v>
      </c>
      <c r="H42" s="75">
        <f t="shared" si="1"/>
        <v>11840.622500000001</v>
      </c>
      <c r="I42" s="75">
        <f t="shared" si="2"/>
        <v>248653.07250000001</v>
      </c>
      <c r="J42" s="76">
        <v>3643268.53</v>
      </c>
      <c r="K42" s="77">
        <v>1212</v>
      </c>
      <c r="L42" s="78">
        <f>3643268.53-378926.89</f>
        <v>3264341.6399999997</v>
      </c>
      <c r="M42" s="79">
        <f>1212-101</f>
        <v>1111</v>
      </c>
      <c r="N42" s="80">
        <f>Collections!T29</f>
        <v>119647.56000000001</v>
      </c>
      <c r="O42" s="81">
        <f>SUM(Collections!V29:W29)</f>
        <v>136654.88999999998</v>
      </c>
      <c r="P42" s="80">
        <f t="shared" si="8"/>
        <v>256302.45</v>
      </c>
      <c r="Q42" s="82">
        <f t="shared" si="9"/>
        <v>3.2840719539275906E-2</v>
      </c>
      <c r="R42" s="82">
        <f t="shared" si="10"/>
        <v>7.0349590728630701E-2</v>
      </c>
      <c r="S42" s="83">
        <f t="shared" si="11"/>
        <v>0.48118271291419495</v>
      </c>
      <c r="T42" s="98">
        <f t="shared" si="12"/>
        <v>1.0307632534884523</v>
      </c>
      <c r="U42" s="1"/>
      <c r="Z42" s="1"/>
    </row>
    <row r="43" spans="1:26" ht="15.75" x14ac:dyDescent="0.25">
      <c r="A43" s="1"/>
      <c r="B43" s="97" t="s">
        <v>57</v>
      </c>
      <c r="C43" s="73">
        <v>45866</v>
      </c>
      <c r="D43" s="73" t="s">
        <v>37</v>
      </c>
      <c r="E43" s="73" t="s">
        <v>58</v>
      </c>
      <c r="F43" s="74">
        <f t="shared" si="0"/>
        <v>6.8250000488108989E-2</v>
      </c>
      <c r="G43" s="75">
        <v>195755.46</v>
      </c>
      <c r="H43" s="75">
        <f t="shared" si="1"/>
        <v>9787.7729999999992</v>
      </c>
      <c r="I43" s="75">
        <f t="shared" si="2"/>
        <v>205543.23299999998</v>
      </c>
      <c r="J43" s="76">
        <v>3011622.44</v>
      </c>
      <c r="K43" s="77">
        <v>987</v>
      </c>
      <c r="L43" s="78">
        <f>3011622.44-285865.43</f>
        <v>2725757.01</v>
      </c>
      <c r="M43" s="79">
        <f>987-78</f>
        <v>909</v>
      </c>
      <c r="N43" s="80">
        <f>Collections!T30</f>
        <v>76518.37</v>
      </c>
      <c r="O43" s="81">
        <f>SUM(Collections!V30:W30)</f>
        <v>112460</v>
      </c>
      <c r="P43" s="80">
        <f t="shared" si="8"/>
        <v>188978.37</v>
      </c>
      <c r="Q43" s="82">
        <f t="shared" si="9"/>
        <v>2.5407690214979271E-2</v>
      </c>
      <c r="R43" s="82">
        <f t="shared" si="10"/>
        <v>6.2749688503449988E-2</v>
      </c>
      <c r="S43" s="83">
        <f t="shared" si="11"/>
        <v>0.37227384664130492</v>
      </c>
      <c r="T43" s="98">
        <f t="shared" si="12"/>
        <v>0.91940934878649117</v>
      </c>
      <c r="U43" s="1"/>
      <c r="Z43" s="1"/>
    </row>
    <row r="44" spans="1:26" ht="15.75" x14ac:dyDescent="0.25">
      <c r="A44" s="1"/>
      <c r="B44" s="97" t="s">
        <v>59</v>
      </c>
      <c r="C44" s="73">
        <v>45896</v>
      </c>
      <c r="D44" s="73" t="s">
        <v>37</v>
      </c>
      <c r="E44" s="73" t="s">
        <v>60</v>
      </c>
      <c r="F44" s="74">
        <f t="shared" si="0"/>
        <v>6.8249998206602491E-2</v>
      </c>
      <c r="G44" s="75">
        <v>131294.09</v>
      </c>
      <c r="H44" s="75">
        <f t="shared" si="1"/>
        <v>6564.7044999999998</v>
      </c>
      <c r="I44" s="75">
        <f t="shared" si="2"/>
        <v>137858.79449999999</v>
      </c>
      <c r="J44" s="76">
        <v>2019909.13</v>
      </c>
      <c r="K44" s="77">
        <v>671</v>
      </c>
      <c r="L44" s="78">
        <f>2019909.13-270824.59</f>
        <v>1749084.5399999998</v>
      </c>
      <c r="M44" s="79">
        <f>671-74</f>
        <v>597</v>
      </c>
      <c r="N44" s="80">
        <f>Collections!T31</f>
        <v>53997.139999999992</v>
      </c>
      <c r="O44" s="81">
        <f>SUM(Collections!V31:W31)</f>
        <v>64566.349999999991</v>
      </c>
      <c r="P44" s="80">
        <f t="shared" si="8"/>
        <v>118563.48999999999</v>
      </c>
      <c r="Q44" s="82">
        <f t="shared" si="9"/>
        <v>2.6732459989425365E-2</v>
      </c>
      <c r="R44" s="82">
        <f t="shared" si="10"/>
        <v>5.8697437542648265E-2</v>
      </c>
      <c r="S44" s="83">
        <f t="shared" si="11"/>
        <v>0.3916844057417026</v>
      </c>
      <c r="T44" s="98">
        <f t="shared" si="12"/>
        <v>0.86003573750965889</v>
      </c>
      <c r="U44" s="1"/>
      <c r="Z44" s="1"/>
    </row>
    <row r="45" spans="1:26" ht="15.75" x14ac:dyDescent="0.25">
      <c r="A45" s="1"/>
      <c r="B45" s="97" t="s">
        <v>61</v>
      </c>
      <c r="C45" s="73">
        <v>45896</v>
      </c>
      <c r="D45" s="73" t="s">
        <v>37</v>
      </c>
      <c r="E45" s="73" t="s">
        <v>62</v>
      </c>
      <c r="F45" s="74">
        <f t="shared" si="0"/>
        <v>6.8249999672591807E-2</v>
      </c>
      <c r="G45" s="75">
        <v>218878.15</v>
      </c>
      <c r="H45" s="75">
        <f t="shared" si="1"/>
        <v>10943.907500000001</v>
      </c>
      <c r="I45" s="75">
        <f t="shared" si="2"/>
        <v>229822.0575</v>
      </c>
      <c r="J45" s="76">
        <v>3367356.17</v>
      </c>
      <c r="K45" s="77">
        <v>1136</v>
      </c>
      <c r="L45" s="78">
        <f>3367356.17-362957.89</f>
        <v>3004398.28</v>
      </c>
      <c r="M45" s="79">
        <f>1136-103</f>
        <v>1033</v>
      </c>
      <c r="N45" s="80">
        <f>Collections!T32</f>
        <v>92029.7</v>
      </c>
      <c r="O45" s="81">
        <f>SUM(Collections!V32:W32)</f>
        <v>125586.94000000003</v>
      </c>
      <c r="P45" s="80">
        <f t="shared" si="8"/>
        <v>217616.64000000001</v>
      </c>
      <c r="Q45" s="82">
        <f t="shared" si="9"/>
        <v>2.7329957199033091E-2</v>
      </c>
      <c r="R45" s="82">
        <f t="shared" si="10"/>
        <v>6.462537047276469E-2</v>
      </c>
      <c r="S45" s="83">
        <f t="shared" si="11"/>
        <v>0.40043893524014768</v>
      </c>
      <c r="T45" s="98">
        <f t="shared" si="12"/>
        <v>0.94689187960124332</v>
      </c>
      <c r="U45" s="1"/>
      <c r="Z45" s="1"/>
    </row>
    <row r="46" spans="1:26" ht="15.75" x14ac:dyDescent="0.25">
      <c r="A46" s="1"/>
      <c r="B46" s="97" t="s">
        <v>63</v>
      </c>
      <c r="C46" s="73">
        <v>45930</v>
      </c>
      <c r="D46" s="73" t="s">
        <v>37</v>
      </c>
      <c r="E46" s="73" t="s">
        <v>64</v>
      </c>
      <c r="F46" s="74">
        <f t="shared" si="0"/>
        <v>6.8250000674670949E-2</v>
      </c>
      <c r="G46" s="75">
        <v>273133.15000000002</v>
      </c>
      <c r="H46" s="75">
        <f t="shared" si="1"/>
        <v>13656.657500000001</v>
      </c>
      <c r="I46" s="75">
        <f t="shared" si="2"/>
        <v>286789.8075</v>
      </c>
      <c r="J46" s="76">
        <v>4202048.42</v>
      </c>
      <c r="K46" s="77">
        <v>1435</v>
      </c>
      <c r="L46" s="78">
        <f>4202048.42-540065.96</f>
        <v>3661982.46</v>
      </c>
      <c r="M46" s="79">
        <f>1435-168</f>
        <v>1267</v>
      </c>
      <c r="N46" s="80">
        <f>Collections!T33</f>
        <v>55694.55</v>
      </c>
      <c r="O46" s="81">
        <f>SUM(Collections!V33:W33)</f>
        <v>72809.340000000011</v>
      </c>
      <c r="P46" s="80">
        <f t="shared" si="8"/>
        <v>128503.89000000001</v>
      </c>
      <c r="Q46" s="82">
        <f t="shared" si="9"/>
        <v>1.3254142844931807E-2</v>
      </c>
      <c r="R46" s="82">
        <f t="shared" si="10"/>
        <v>3.0581249227965825E-2</v>
      </c>
      <c r="S46" s="83">
        <f t="shared" si="11"/>
        <v>0.19419989324411399</v>
      </c>
      <c r="T46" s="98">
        <f t="shared" si="12"/>
        <v>0.44807690733569749</v>
      </c>
      <c r="U46" s="1"/>
      <c r="Z46" s="1"/>
    </row>
    <row r="47" spans="1:26" ht="15.75" x14ac:dyDescent="0.25">
      <c r="A47" s="1"/>
      <c r="B47" s="145" t="s">
        <v>65</v>
      </c>
      <c r="C47" s="152">
        <v>45930</v>
      </c>
      <c r="D47" s="152" t="s">
        <v>37</v>
      </c>
      <c r="E47" s="152" t="s">
        <v>120</v>
      </c>
      <c r="F47" s="163">
        <f t="shared" si="0"/>
        <v>6.8249998532312103E-2</v>
      </c>
      <c r="G47" s="164">
        <v>230183.47</v>
      </c>
      <c r="H47" s="164">
        <f t="shared" si="1"/>
        <v>11509.173500000001</v>
      </c>
      <c r="I47" s="164">
        <f t="shared" si="2"/>
        <v>241692.64350000001</v>
      </c>
      <c r="J47" s="76">
        <v>3541284.23</v>
      </c>
      <c r="K47" s="77">
        <v>1220</v>
      </c>
      <c r="L47" s="78">
        <f>3541284.23-454034.56</f>
        <v>3087249.67</v>
      </c>
      <c r="M47" s="79">
        <f>1220-132</f>
        <v>1088</v>
      </c>
      <c r="N47" s="80">
        <f>Collections!T34</f>
        <v>44265.73</v>
      </c>
      <c r="O47" s="81">
        <f>SUM(Collections!V34:W34)</f>
        <v>65356.389999999985</v>
      </c>
      <c r="P47" s="80">
        <f t="shared" si="8"/>
        <v>109622.12</v>
      </c>
      <c r="Q47" s="82">
        <f t="shared" si="9"/>
        <v>1.2499908825448897E-2</v>
      </c>
      <c r="R47" s="82">
        <f t="shared" si="10"/>
        <v>3.0955470637272171E-2</v>
      </c>
      <c r="S47" s="83">
        <f t="shared" si="11"/>
        <v>0.18314885119786445</v>
      </c>
      <c r="T47" s="98">
        <f t="shared" si="12"/>
        <v>0.45356001909094096</v>
      </c>
      <c r="U47" s="1"/>
      <c r="Z47" s="1"/>
    </row>
    <row r="48" spans="1:26" ht="15.75" x14ac:dyDescent="0.25">
      <c r="A48" s="1"/>
      <c r="B48" s="97" t="s">
        <v>66</v>
      </c>
      <c r="C48" s="73">
        <v>45959</v>
      </c>
      <c r="D48" s="73" t="s">
        <v>37</v>
      </c>
      <c r="E48" s="73" t="s">
        <v>108</v>
      </c>
      <c r="F48" s="74">
        <f t="shared" si="0"/>
        <v>6.8249999679303397E-2</v>
      </c>
      <c r="G48" s="75">
        <v>297945.15000000002</v>
      </c>
      <c r="H48" s="75">
        <f t="shared" si="1"/>
        <v>14897.257500000002</v>
      </c>
      <c r="I48" s="75">
        <f t="shared" si="2"/>
        <v>312842.40750000003</v>
      </c>
      <c r="J48" s="76">
        <v>4583771.5599999996</v>
      </c>
      <c r="K48" s="77">
        <v>1567</v>
      </c>
      <c r="L48" s="78">
        <v>4583771.5599999996</v>
      </c>
      <c r="M48" s="79">
        <v>1567</v>
      </c>
      <c r="N48" s="80">
        <f>Collections!T35</f>
        <v>64666.390000000007</v>
      </c>
      <c r="O48" s="81">
        <f>SUM(Collections!V35:W35)</f>
        <v>240608.94999999998</v>
      </c>
      <c r="P48" s="80">
        <f t="shared" si="8"/>
        <v>305275.33999999997</v>
      </c>
      <c r="Q48" s="82">
        <f t="shared" si="9"/>
        <v>1.4107681666404862E-2</v>
      </c>
      <c r="R48" s="82">
        <f t="shared" si="10"/>
        <v>6.6599160975639893E-2</v>
      </c>
      <c r="S48" s="83">
        <f t="shared" si="11"/>
        <v>0.20670595945340306</v>
      </c>
      <c r="T48" s="98">
        <f t="shared" si="12"/>
        <v>0.97581188701215305</v>
      </c>
      <c r="U48" s="1"/>
      <c r="Z48" s="1"/>
    </row>
    <row r="49" spans="1:26" ht="15.75" x14ac:dyDescent="0.25">
      <c r="A49" s="1"/>
      <c r="B49" s="97" t="s">
        <v>67</v>
      </c>
      <c r="C49" s="73">
        <v>45959</v>
      </c>
      <c r="D49" s="73" t="s">
        <v>37</v>
      </c>
      <c r="E49" s="73" t="s">
        <v>109</v>
      </c>
      <c r="F49" s="74">
        <f t="shared" si="0"/>
        <v>6.8249999168675413E-2</v>
      </c>
      <c r="G49" s="75">
        <v>242188.79</v>
      </c>
      <c r="H49" s="75">
        <f t="shared" si="1"/>
        <v>12109.4395</v>
      </c>
      <c r="I49" s="75">
        <f t="shared" si="2"/>
        <v>254298.22950000002</v>
      </c>
      <c r="J49" s="76">
        <v>3725981.43</v>
      </c>
      <c r="K49" s="77">
        <v>1280</v>
      </c>
      <c r="L49" s="78">
        <v>3725981.43</v>
      </c>
      <c r="M49" s="79">
        <v>1280</v>
      </c>
      <c r="N49" s="80">
        <f>Collections!T36</f>
        <v>35478.49</v>
      </c>
      <c r="O49" s="81">
        <f>SUM(Collections!V36:W36)</f>
        <v>103498.44</v>
      </c>
      <c r="P49" s="80">
        <f t="shared" si="8"/>
        <v>138976.93</v>
      </c>
      <c r="Q49" s="82">
        <f t="shared" si="9"/>
        <v>9.5219180950131561E-3</v>
      </c>
      <c r="R49" s="82">
        <f t="shared" si="10"/>
        <v>3.7299415633426813E-2</v>
      </c>
      <c r="S49" s="83">
        <f t="shared" si="11"/>
        <v>0.13951528514279332</v>
      </c>
      <c r="T49" s="98">
        <f t="shared" si="12"/>
        <v>0.54651159102938218</v>
      </c>
      <c r="U49" s="1"/>
      <c r="Z49" s="1"/>
    </row>
    <row r="50" spans="1:26" ht="15.75" x14ac:dyDescent="0.25">
      <c r="A50" s="1"/>
      <c r="B50" s="145" t="s">
        <v>103</v>
      </c>
      <c r="C50" s="152">
        <v>45986</v>
      </c>
      <c r="D50" s="152" t="s">
        <v>37</v>
      </c>
      <c r="E50" s="152" t="s">
        <v>120</v>
      </c>
      <c r="F50" s="163">
        <f t="shared" si="0"/>
        <v>6.8249997524658351E-2</v>
      </c>
      <c r="G50" s="164">
        <v>117180.79</v>
      </c>
      <c r="H50" s="164">
        <f t="shared" si="1"/>
        <v>5859.0394999999999</v>
      </c>
      <c r="I50" s="164">
        <f t="shared" si="2"/>
        <v>123039.82949999999</v>
      </c>
      <c r="J50" s="76">
        <v>1802781.45</v>
      </c>
      <c r="K50" s="77">
        <v>624</v>
      </c>
      <c r="L50" s="78">
        <v>1802781.45</v>
      </c>
      <c r="M50" s="79">
        <v>624</v>
      </c>
      <c r="N50" s="80">
        <f>Collections!T37</f>
        <v>25680.500000000004</v>
      </c>
      <c r="O50" s="81">
        <f>SUM(Collections!V37:W37)</f>
        <v>54367.45</v>
      </c>
      <c r="P50" s="80">
        <f t="shared" si="8"/>
        <v>80047.95</v>
      </c>
      <c r="Q50" s="82">
        <f t="shared" si="9"/>
        <v>1.4244932462556681E-2</v>
      </c>
      <c r="R50" s="82">
        <f t="shared" si="10"/>
        <v>4.4402470415923129E-2</v>
      </c>
      <c r="S50" s="83">
        <f t="shared" si="11"/>
        <v>0.2087169667282415</v>
      </c>
      <c r="T50" s="98">
        <f t="shared" si="12"/>
        <v>0.65058567071567663</v>
      </c>
      <c r="U50" s="1"/>
      <c r="Z50" s="1"/>
    </row>
    <row r="51" spans="1:26" ht="15.75" x14ac:dyDescent="0.25">
      <c r="A51" s="1"/>
      <c r="B51" s="145" t="s">
        <v>104</v>
      </c>
      <c r="C51" s="152">
        <v>45986</v>
      </c>
      <c r="D51" s="152" t="s">
        <v>37</v>
      </c>
      <c r="E51" s="152" t="s">
        <v>120</v>
      </c>
      <c r="F51" s="163">
        <f t="shared" si="0"/>
        <v>6.8250000697724827E-2</v>
      </c>
      <c r="G51" s="164">
        <v>117381.52</v>
      </c>
      <c r="H51" s="164">
        <f t="shared" si="1"/>
        <v>5869.0760000000009</v>
      </c>
      <c r="I51" s="164">
        <f t="shared" si="2"/>
        <v>123250.59600000001</v>
      </c>
      <c r="J51" s="76">
        <v>1805869.52</v>
      </c>
      <c r="K51" s="77">
        <v>607</v>
      </c>
      <c r="L51" s="78">
        <v>1805869.52</v>
      </c>
      <c r="M51" s="79">
        <v>607</v>
      </c>
      <c r="N51" s="80">
        <f>Collections!T38</f>
        <v>8963.5500000000011</v>
      </c>
      <c r="O51" s="81">
        <f>SUM(Collections!V38:W38)</f>
        <v>57235.469999999987</v>
      </c>
      <c r="P51" s="80">
        <f t="shared" si="8"/>
        <v>66199.01999999999</v>
      </c>
      <c r="Q51" s="82">
        <f t="shared" si="9"/>
        <v>4.9635645879886163E-3</v>
      </c>
      <c r="R51" s="82">
        <f t="shared" si="10"/>
        <v>3.6657698281545831E-2</v>
      </c>
      <c r="S51" s="83">
        <f t="shared" si="11"/>
        <v>7.2726220325944724E-2</v>
      </c>
      <c r="T51" s="98">
        <f t="shared" si="12"/>
        <v>0.53710912683943524</v>
      </c>
      <c r="U51" s="1"/>
      <c r="Z51" s="1"/>
    </row>
    <row r="52" spans="1:26" ht="15.75" x14ac:dyDescent="0.25">
      <c r="A52" s="1"/>
      <c r="B52" s="145" t="s">
        <v>119</v>
      </c>
      <c r="C52" s="152">
        <v>46022</v>
      </c>
      <c r="D52" s="152" t="s">
        <v>37</v>
      </c>
      <c r="E52" s="152" t="s">
        <v>120</v>
      </c>
      <c r="F52" s="163">
        <f t="shared" si="0"/>
        <v>6.8250001227405585E-2</v>
      </c>
      <c r="G52" s="164">
        <v>269684.7</v>
      </c>
      <c r="H52" s="164">
        <f t="shared" si="1"/>
        <v>13484.235000000001</v>
      </c>
      <c r="I52" s="164">
        <f t="shared" si="2"/>
        <v>283168.935</v>
      </c>
      <c r="J52" s="76">
        <v>4148995.31</v>
      </c>
      <c r="K52" s="77">
        <v>1344</v>
      </c>
      <c r="L52" s="78">
        <v>4148995.31</v>
      </c>
      <c r="M52" s="79">
        <v>1344</v>
      </c>
      <c r="N52" s="80">
        <f>Collections!T39</f>
        <v>3109.2</v>
      </c>
      <c r="O52" s="81">
        <f>SUM(Collections!V39:W39)</f>
        <v>47755.26</v>
      </c>
      <c r="P52" s="80">
        <f t="shared" ref="P52:P54" si="13">N52+O52</f>
        <v>50864.46</v>
      </c>
      <c r="Q52" s="82">
        <f t="shared" ref="Q52:Q54" si="14">N52/J52</f>
        <v>7.4938624117172115E-4</v>
      </c>
      <c r="R52" s="82">
        <f t="shared" ref="R52:R54" si="15">P52/J52</f>
        <v>1.2259464328003783E-2</v>
      </c>
      <c r="S52" s="83">
        <f t="shared" ref="S52:S54" si="16">N52/I52</f>
        <v>1.0980017988201989E-2</v>
      </c>
      <c r="T52" s="98">
        <f t="shared" ref="T52:T54" si="17">P52/I52</f>
        <v>0.17962584772937751</v>
      </c>
      <c r="U52" s="1"/>
      <c r="Z52" s="1"/>
    </row>
    <row r="53" spans="1:26" ht="15.75" x14ac:dyDescent="0.25">
      <c r="A53" s="1"/>
      <c r="B53" s="145" t="s">
        <v>118</v>
      </c>
      <c r="C53" s="152">
        <v>46022</v>
      </c>
      <c r="D53" s="152" t="s">
        <v>37</v>
      </c>
      <c r="E53" s="152" t="s">
        <v>120</v>
      </c>
      <c r="F53" s="163">
        <f>I53/J53</f>
        <v>6.8249999842079925E-2</v>
      </c>
      <c r="G53" s="164">
        <v>345744.51</v>
      </c>
      <c r="H53" s="164">
        <f t="shared" si="1"/>
        <v>17287.2255</v>
      </c>
      <c r="I53" s="164">
        <f t="shared" si="2"/>
        <v>363031.73550000001</v>
      </c>
      <c r="J53" s="76">
        <v>5319146.32</v>
      </c>
      <c r="K53" s="77">
        <v>1709</v>
      </c>
      <c r="L53" s="78">
        <v>5319146.32</v>
      </c>
      <c r="M53" s="79">
        <v>1709</v>
      </c>
      <c r="N53" s="80">
        <f>Collections!T40</f>
        <v>13565.29</v>
      </c>
      <c r="O53" s="81">
        <f>SUM(Collections!V40:W40)</f>
        <v>91256.819999999934</v>
      </c>
      <c r="P53" s="80">
        <f t="shared" si="13"/>
        <v>104822.10999999993</v>
      </c>
      <c r="Q53" s="82">
        <f t="shared" si="14"/>
        <v>2.550275774327637E-3</v>
      </c>
      <c r="R53" s="82">
        <f t="shared" si="15"/>
        <v>1.9706566372477589E-2</v>
      </c>
      <c r="S53" s="83">
        <f t="shared" si="16"/>
        <v>3.7366678098587333E-2</v>
      </c>
      <c r="T53" s="98">
        <f t="shared" si="17"/>
        <v>0.28874089989854324</v>
      </c>
      <c r="U53" s="1"/>
      <c r="Z53" s="1"/>
    </row>
    <row r="54" spans="1:26" ht="15.75" x14ac:dyDescent="0.25">
      <c r="A54" s="1"/>
      <c r="B54" s="145">
        <v>1512</v>
      </c>
      <c r="C54" s="152">
        <v>46052</v>
      </c>
      <c r="D54" s="152" t="s">
        <v>128</v>
      </c>
      <c r="E54" s="152" t="s">
        <v>120</v>
      </c>
      <c r="F54" s="163">
        <f>I54/J54</f>
        <v>6.8270594164152917E-2</v>
      </c>
      <c r="G54" s="164">
        <v>32991.5</v>
      </c>
      <c r="H54" s="164">
        <f t="shared" si="1"/>
        <v>1649.575</v>
      </c>
      <c r="I54" s="164">
        <f t="shared" si="2"/>
        <v>34641.074999999997</v>
      </c>
      <c r="J54" s="76">
        <v>507408.43</v>
      </c>
      <c r="K54" s="77">
        <v>157</v>
      </c>
      <c r="L54" s="78">
        <v>507408.43</v>
      </c>
      <c r="M54" s="79">
        <v>157</v>
      </c>
      <c r="N54" s="80">
        <f>Collections!T41</f>
        <v>273.95999999999998</v>
      </c>
      <c r="O54" s="81">
        <f>SUM(Collections!V41:W41)</f>
        <v>1603.96</v>
      </c>
      <c r="P54" s="80">
        <f t="shared" si="13"/>
        <v>1877.92</v>
      </c>
      <c r="Q54" s="82">
        <f t="shared" si="14"/>
        <v>5.3992007976690494E-4</v>
      </c>
      <c r="R54" s="82">
        <f t="shared" si="15"/>
        <v>3.7010027602418826E-3</v>
      </c>
      <c r="S54" s="83">
        <f t="shared" si="16"/>
        <v>7.9085305522418117E-3</v>
      </c>
      <c r="T54" s="98">
        <f t="shared" si="17"/>
        <v>5.4210788781814657E-2</v>
      </c>
      <c r="U54" s="1"/>
      <c r="Z54" s="1"/>
    </row>
    <row r="55" spans="1:26" ht="15.75" x14ac:dyDescent="0.25">
      <c r="A55" s="1"/>
      <c r="B55" s="145" t="s">
        <v>68</v>
      </c>
      <c r="C55" s="152">
        <v>45930</v>
      </c>
      <c r="D55" s="152" t="s">
        <v>129</v>
      </c>
      <c r="E55" s="152" t="s">
        <v>120</v>
      </c>
      <c r="F55" s="163">
        <f t="shared" si="0"/>
        <v>7.3500000529425569E-2</v>
      </c>
      <c r="G55" s="164">
        <v>444255.09</v>
      </c>
      <c r="H55" s="164">
        <f t="shared" si="1"/>
        <v>22212.754500000003</v>
      </c>
      <c r="I55" s="164">
        <f t="shared" si="2"/>
        <v>466467.84450000001</v>
      </c>
      <c r="J55" s="76">
        <v>6346501.2400000002</v>
      </c>
      <c r="K55" s="77">
        <v>2184</v>
      </c>
      <c r="L55" s="78">
        <f>6346501.24-1146484.13</f>
        <v>5200017.1100000003</v>
      </c>
      <c r="M55" s="79">
        <f>2184-356</f>
        <v>1828</v>
      </c>
      <c r="N55" s="80">
        <f>Collections!T42</f>
        <v>157649.92000000001</v>
      </c>
      <c r="O55" s="81">
        <f>SUM(Collections!V42:W42)</f>
        <v>245539.52</v>
      </c>
      <c r="P55" s="80">
        <f t="shared" si="8"/>
        <v>403189.44</v>
      </c>
      <c r="Q55" s="82">
        <f t="shared" si="9"/>
        <v>2.4840445788678361E-2</v>
      </c>
      <c r="R55" s="82">
        <f t="shared" si="10"/>
        <v>6.3529403801077647E-2</v>
      </c>
      <c r="S55" s="83">
        <f t="shared" si="11"/>
        <v>0.33796524639116898</v>
      </c>
      <c r="T55" s="98">
        <f t="shared" si="12"/>
        <v>0.86434562372069357</v>
      </c>
      <c r="U55" s="1"/>
      <c r="Z55" s="1"/>
    </row>
    <row r="56" spans="1:26" ht="15.75" x14ac:dyDescent="0.25">
      <c r="A56" s="1"/>
      <c r="B56" s="145" t="s">
        <v>69</v>
      </c>
      <c r="C56" s="152">
        <v>45930</v>
      </c>
      <c r="D56" s="152" t="s">
        <v>129</v>
      </c>
      <c r="E56" s="152" t="s">
        <v>120</v>
      </c>
      <c r="F56" s="163">
        <f t="shared" si="0"/>
        <v>7.3499936410572245E-2</v>
      </c>
      <c r="G56" s="164">
        <v>3814.31</v>
      </c>
      <c r="H56" s="164">
        <f t="shared" si="1"/>
        <v>190.71550000000002</v>
      </c>
      <c r="I56" s="164">
        <f t="shared" si="2"/>
        <v>4005.0254999999997</v>
      </c>
      <c r="J56" s="76">
        <v>54490.19</v>
      </c>
      <c r="K56" s="77">
        <v>20</v>
      </c>
      <c r="L56" s="78">
        <f>54490.19-9900</f>
        <v>44590.19</v>
      </c>
      <c r="M56" s="79">
        <f>20-3</f>
        <v>17</v>
      </c>
      <c r="N56" s="80">
        <f>Collections!T43</f>
        <v>5526.9</v>
      </c>
      <c r="O56" s="81">
        <f>SUM(Collections!V43:W43)</f>
        <v>968</v>
      </c>
      <c r="P56" s="80">
        <f t="shared" si="8"/>
        <v>6494.9</v>
      </c>
      <c r="Q56" s="82">
        <f t="shared" si="9"/>
        <v>0.10142926644227153</v>
      </c>
      <c r="R56" s="82">
        <f t="shared" si="10"/>
        <v>0.11919393197197513</v>
      </c>
      <c r="S56" s="83">
        <f t="shared" si="11"/>
        <v>1.3799912135390899</v>
      </c>
      <c r="T56" s="98">
        <f t="shared" si="12"/>
        <v>1.6216875523014773</v>
      </c>
      <c r="U56" s="1"/>
      <c r="Z56" s="1"/>
    </row>
    <row r="57" spans="1:26" ht="15.75" x14ac:dyDescent="0.25">
      <c r="A57" s="1"/>
      <c r="B57" s="97" t="s">
        <v>70</v>
      </c>
      <c r="C57" s="73">
        <v>45930</v>
      </c>
      <c r="D57" s="73" t="s">
        <v>129</v>
      </c>
      <c r="E57" s="73" t="s">
        <v>71</v>
      </c>
      <c r="F57" s="74">
        <f t="shared" si="0"/>
        <v>7.874999928517501E-2</v>
      </c>
      <c r="G57" s="75">
        <v>523292.42</v>
      </c>
      <c r="H57" s="75">
        <f t="shared" si="1"/>
        <v>26164.620999999999</v>
      </c>
      <c r="I57" s="75">
        <f t="shared" si="2"/>
        <v>549457.04099999997</v>
      </c>
      <c r="J57" s="76">
        <v>6977232.3300000001</v>
      </c>
      <c r="K57" s="77">
        <v>2364</v>
      </c>
      <c r="L57" s="78">
        <f>6977232.33-1375857.59</f>
        <v>5601374.7400000002</v>
      </c>
      <c r="M57" s="79">
        <f>2364-419</f>
        <v>1945</v>
      </c>
      <c r="N57" s="80">
        <f>Collections!T44</f>
        <v>176631.92</v>
      </c>
      <c r="O57" s="81">
        <f>SUM(Collections!V44:W44)</f>
        <v>256481.09000000008</v>
      </c>
      <c r="P57" s="80">
        <f t="shared" si="8"/>
        <v>433113.01000000013</v>
      </c>
      <c r="Q57" s="82">
        <f t="shared" si="9"/>
        <v>2.5315470611539749E-2</v>
      </c>
      <c r="R57" s="82">
        <f t="shared" si="10"/>
        <v>6.2075188200018006E-2</v>
      </c>
      <c r="S57" s="83">
        <f t="shared" si="11"/>
        <v>0.32146629639786528</v>
      </c>
      <c r="T57" s="98">
        <f t="shared" si="12"/>
        <v>0.78825636525058229</v>
      </c>
      <c r="U57" s="1"/>
      <c r="Z57" s="1"/>
    </row>
    <row r="58" spans="1:26" ht="15.75" x14ac:dyDescent="0.25">
      <c r="A58" s="1"/>
      <c r="B58" s="97" t="s">
        <v>72</v>
      </c>
      <c r="C58" s="73">
        <v>45930</v>
      </c>
      <c r="D58" s="73" t="s">
        <v>129</v>
      </c>
      <c r="E58" s="73" t="s">
        <v>73</v>
      </c>
      <c r="F58" s="74">
        <f t="shared" si="0"/>
        <v>7.8749988172409774E-2</v>
      </c>
      <c r="G58" s="75">
        <v>6658.16</v>
      </c>
      <c r="H58" s="75">
        <f t="shared" si="1"/>
        <v>332.90800000000002</v>
      </c>
      <c r="I58" s="75">
        <f t="shared" si="2"/>
        <v>6991.0680000000002</v>
      </c>
      <c r="J58" s="76">
        <v>88775.48</v>
      </c>
      <c r="K58" s="77">
        <v>32</v>
      </c>
      <c r="L58" s="78">
        <f>88775.48-32805.92</f>
        <v>55969.56</v>
      </c>
      <c r="M58" s="79">
        <f>32-10</f>
        <v>22</v>
      </c>
      <c r="N58" s="80">
        <f>Collections!T45</f>
        <v>1589.09</v>
      </c>
      <c r="O58" s="81">
        <f>SUM(Collections!V45:W45)</f>
        <v>2398.41</v>
      </c>
      <c r="P58" s="80">
        <f t="shared" si="8"/>
        <v>3987.5</v>
      </c>
      <c r="Q58" s="82">
        <f t="shared" si="9"/>
        <v>1.7900100343022644E-2</v>
      </c>
      <c r="R58" s="82">
        <f t="shared" si="10"/>
        <v>4.4916681948664203E-2</v>
      </c>
      <c r="S58" s="83">
        <f t="shared" si="11"/>
        <v>0.22730289563769082</v>
      </c>
      <c r="T58" s="98">
        <f t="shared" si="12"/>
        <v>0.57037065009237498</v>
      </c>
      <c r="U58" s="1"/>
      <c r="Z58" s="1"/>
    </row>
    <row r="59" spans="1:26" ht="15.75" x14ac:dyDescent="0.25">
      <c r="A59" s="1"/>
      <c r="B59" s="97" t="s">
        <v>74</v>
      </c>
      <c r="C59" s="73">
        <v>45959</v>
      </c>
      <c r="D59" s="73" t="s">
        <v>129</v>
      </c>
      <c r="E59" s="73" t="s">
        <v>110</v>
      </c>
      <c r="F59" s="74">
        <f t="shared" si="0"/>
        <v>7.8750000262316072E-2</v>
      </c>
      <c r="G59" s="75">
        <v>225157.77</v>
      </c>
      <c r="H59" s="75">
        <f t="shared" si="1"/>
        <v>11257.888500000001</v>
      </c>
      <c r="I59" s="75">
        <f t="shared" si="2"/>
        <v>236415.65849999999</v>
      </c>
      <c r="J59" s="76">
        <v>3002103.59</v>
      </c>
      <c r="K59" s="77">
        <v>1019</v>
      </c>
      <c r="L59" s="78">
        <v>3002103.59</v>
      </c>
      <c r="M59" s="79">
        <v>1019</v>
      </c>
      <c r="N59" s="80">
        <f>Collections!T46</f>
        <v>77766.06</v>
      </c>
      <c r="O59" s="81">
        <f>SUM(Collections!V46:W46)</f>
        <v>211400.6100000001</v>
      </c>
      <c r="P59" s="80">
        <f t="shared" si="8"/>
        <v>289166.6700000001</v>
      </c>
      <c r="Q59" s="82">
        <f t="shared" si="9"/>
        <v>2.5903856302307012E-2</v>
      </c>
      <c r="R59" s="82">
        <f t="shared" si="10"/>
        <v>9.6321349790598032E-2</v>
      </c>
      <c r="S59" s="83">
        <f t="shared" si="11"/>
        <v>0.32893785671138193</v>
      </c>
      <c r="T59" s="98">
        <f t="shared" si="12"/>
        <v>1.2231282472349441</v>
      </c>
      <c r="U59" s="1"/>
      <c r="Z59" s="1"/>
    </row>
    <row r="60" spans="1:26" ht="15.75" x14ac:dyDescent="0.25">
      <c r="A60" s="1"/>
      <c r="B60" s="97" t="s">
        <v>75</v>
      </c>
      <c r="C60" s="73">
        <v>45959</v>
      </c>
      <c r="D60" s="73" t="s">
        <v>129</v>
      </c>
      <c r="E60" s="73" t="s">
        <v>111</v>
      </c>
      <c r="F60" s="74">
        <f t="shared" si="0"/>
        <v>7.8750167430552812E-2</v>
      </c>
      <c r="G60" s="75">
        <v>2234.14</v>
      </c>
      <c r="H60" s="75">
        <f t="shared" si="1"/>
        <v>111.70699999999999</v>
      </c>
      <c r="I60" s="75">
        <f t="shared" si="2"/>
        <v>2345.8469999999998</v>
      </c>
      <c r="J60" s="76">
        <v>29788.47</v>
      </c>
      <c r="K60" s="77">
        <v>11</v>
      </c>
      <c r="L60" s="78">
        <v>29788.47</v>
      </c>
      <c r="M60" s="79">
        <v>11</v>
      </c>
      <c r="N60" s="80">
        <f>Collections!T47</f>
        <v>1639.3500000000001</v>
      </c>
      <c r="O60" s="81">
        <f>SUM(Collections!V47:W47)</f>
        <v>4917.6499999999996</v>
      </c>
      <c r="P60" s="80">
        <f t="shared" si="8"/>
        <v>6557</v>
      </c>
      <c r="Q60" s="82">
        <f t="shared" si="9"/>
        <v>5.5033037950589607E-2</v>
      </c>
      <c r="R60" s="82">
        <f t="shared" si="10"/>
        <v>0.22011872378809652</v>
      </c>
      <c r="S60" s="83">
        <f t="shared" si="11"/>
        <v>0.69883074215837615</v>
      </c>
      <c r="T60" s="98">
        <f t="shared" si="12"/>
        <v>2.7951524545292172</v>
      </c>
      <c r="U60" s="1"/>
      <c r="V60" s="1"/>
      <c r="W60" s="1"/>
      <c r="X60" s="1"/>
      <c r="Y60" s="1"/>
      <c r="Z60" s="1"/>
    </row>
    <row r="61" spans="1:26" ht="15.75" x14ac:dyDescent="0.25">
      <c r="A61" s="1"/>
      <c r="B61" s="145" t="s">
        <v>105</v>
      </c>
      <c r="C61" s="152">
        <v>45986</v>
      </c>
      <c r="D61" s="152" t="s">
        <v>129</v>
      </c>
      <c r="E61" s="152" t="s">
        <v>120</v>
      </c>
      <c r="F61" s="163">
        <f t="shared" si="0"/>
        <v>7.8750001041068343E-2</v>
      </c>
      <c r="G61" s="164">
        <v>226930.35</v>
      </c>
      <c r="H61" s="164">
        <f t="shared" si="1"/>
        <v>11346.517500000002</v>
      </c>
      <c r="I61" s="164">
        <f t="shared" si="2"/>
        <v>238276.86749999999</v>
      </c>
      <c r="J61" s="76">
        <v>3025737.96</v>
      </c>
      <c r="K61" s="77">
        <v>1024</v>
      </c>
      <c r="L61" s="78">
        <v>3025737.96</v>
      </c>
      <c r="M61" s="79">
        <v>1024</v>
      </c>
      <c r="N61" s="80">
        <f>Collections!T48</f>
        <v>53589.619999999995</v>
      </c>
      <c r="O61" s="81">
        <f>SUM(Collections!V48:W48)</f>
        <v>218576.73000000004</v>
      </c>
      <c r="P61" s="80">
        <f t="shared" si="8"/>
        <v>272166.35000000003</v>
      </c>
      <c r="Q61" s="82">
        <f t="shared" si="9"/>
        <v>1.771125613270225E-2</v>
      </c>
      <c r="R61" s="82">
        <f t="shared" si="10"/>
        <v>8.995040337200913E-2</v>
      </c>
      <c r="S61" s="83">
        <f t="shared" si="11"/>
        <v>0.22490483680712312</v>
      </c>
      <c r="T61" s="98">
        <f t="shared" si="12"/>
        <v>1.1422273293063165</v>
      </c>
      <c r="U61" s="1"/>
      <c r="V61" s="1"/>
      <c r="W61" s="1"/>
      <c r="X61" s="1"/>
      <c r="Y61" s="1"/>
      <c r="Z61" s="1"/>
    </row>
    <row r="62" spans="1:26" ht="15.75" x14ac:dyDescent="0.25">
      <c r="A62" s="1"/>
      <c r="B62" s="145" t="s">
        <v>106</v>
      </c>
      <c r="C62" s="152">
        <v>45986</v>
      </c>
      <c r="D62" s="152" t="s">
        <v>129</v>
      </c>
      <c r="E62" s="152" t="s">
        <v>120</v>
      </c>
      <c r="F62" s="163">
        <f t="shared" si="0"/>
        <v>7.8749917581505069E-2</v>
      </c>
      <c r="G62" s="164">
        <v>4538.57</v>
      </c>
      <c r="H62" s="164">
        <f t="shared" si="1"/>
        <v>226.92849999999999</v>
      </c>
      <c r="I62" s="164">
        <f t="shared" si="2"/>
        <v>4765.4984999999997</v>
      </c>
      <c r="J62" s="76">
        <v>60514.33</v>
      </c>
      <c r="K62" s="77">
        <v>21</v>
      </c>
      <c r="L62" s="78">
        <v>60514.33</v>
      </c>
      <c r="M62" s="79">
        <v>21</v>
      </c>
      <c r="N62" s="80">
        <f>Collections!T49</f>
        <v>888.2</v>
      </c>
      <c r="O62" s="81">
        <f>SUM(Collections!V49:W49)</f>
        <v>6605.9800000000005</v>
      </c>
      <c r="P62" s="80">
        <f t="shared" si="8"/>
        <v>7494.18</v>
      </c>
      <c r="Q62" s="82">
        <f t="shared" si="9"/>
        <v>1.4677515226558734E-2</v>
      </c>
      <c r="R62" s="82">
        <f t="shared" si="10"/>
        <v>0.12384141078650297</v>
      </c>
      <c r="S62" s="83">
        <f t="shared" si="11"/>
        <v>0.18638134079782001</v>
      </c>
      <c r="T62" s="98">
        <f t="shared" si="12"/>
        <v>1.5725909891693388</v>
      </c>
      <c r="U62" s="1"/>
      <c r="V62" s="1"/>
      <c r="W62" s="1"/>
      <c r="X62" s="1"/>
      <c r="Y62" s="1"/>
      <c r="Z62" s="1"/>
    </row>
    <row r="63" spans="1:26" ht="15.75" x14ac:dyDescent="0.25">
      <c r="A63" s="1"/>
      <c r="B63" s="145" t="s">
        <v>123</v>
      </c>
      <c r="C63" s="152">
        <v>46021</v>
      </c>
      <c r="D63" s="152" t="s">
        <v>129</v>
      </c>
      <c r="E63" s="152" t="s">
        <v>120</v>
      </c>
      <c r="F63" s="163">
        <f t="shared" si="0"/>
        <v>7.8750001035275824E-2</v>
      </c>
      <c r="G63" s="164">
        <v>266233.40000000002</v>
      </c>
      <c r="H63" s="164">
        <f t="shared" si="1"/>
        <v>13311.670000000002</v>
      </c>
      <c r="I63" s="164">
        <f t="shared" si="2"/>
        <v>279545.07</v>
      </c>
      <c r="J63" s="76">
        <v>3549778.62</v>
      </c>
      <c r="K63" s="77">
        <v>1212</v>
      </c>
      <c r="L63" s="78">
        <v>3549778.62</v>
      </c>
      <c r="M63" s="79">
        <v>1212</v>
      </c>
      <c r="N63" s="80">
        <f>Collections!T50</f>
        <v>21242.3</v>
      </c>
      <c r="O63" s="81">
        <f>SUM(Collections!V50:W50)</f>
        <v>75480.930000000022</v>
      </c>
      <c r="P63" s="80">
        <f t="shared" si="8"/>
        <v>96723.230000000025</v>
      </c>
      <c r="Q63" s="82">
        <f t="shared" si="9"/>
        <v>5.9841196519460696E-3</v>
      </c>
      <c r="R63" s="82">
        <f t="shared" si="10"/>
        <v>2.7247679462332225E-2</v>
      </c>
      <c r="S63" s="83">
        <f t="shared" si="11"/>
        <v>7.5988819978116587E-2</v>
      </c>
      <c r="T63" s="98">
        <f t="shared" si="12"/>
        <v>0.34600227433808806</v>
      </c>
      <c r="U63" s="1"/>
      <c r="Z63" s="1"/>
    </row>
    <row r="64" spans="1:26" ht="15.75" customHeight="1" x14ac:dyDescent="0.25">
      <c r="A64" s="1"/>
      <c r="B64" s="145" t="s">
        <v>124</v>
      </c>
      <c r="C64" s="152">
        <v>46021</v>
      </c>
      <c r="D64" s="152" t="s">
        <v>129</v>
      </c>
      <c r="E64" s="152" t="s">
        <v>120</v>
      </c>
      <c r="F64" s="163">
        <f t="shared" si="0"/>
        <v>7.8749775260697583E-2</v>
      </c>
      <c r="G64" s="164">
        <v>1401.62</v>
      </c>
      <c r="H64" s="164">
        <f t="shared" si="1"/>
        <v>70.081000000000003</v>
      </c>
      <c r="I64" s="164">
        <f t="shared" si="2"/>
        <v>1471.7009999999998</v>
      </c>
      <c r="J64" s="76">
        <v>18688.32</v>
      </c>
      <c r="K64" s="77">
        <v>6</v>
      </c>
      <c r="L64" s="78">
        <v>18688.32</v>
      </c>
      <c r="M64" s="79">
        <v>6</v>
      </c>
      <c r="N64" s="80">
        <f>Collections!T51</f>
        <v>0</v>
      </c>
      <c r="O64" s="81">
        <f>SUM(Collections!V51:W51)</f>
        <v>0</v>
      </c>
      <c r="P64" s="80">
        <f t="shared" si="8"/>
        <v>0</v>
      </c>
      <c r="Q64" s="82">
        <f t="shared" si="9"/>
        <v>0</v>
      </c>
      <c r="R64" s="82">
        <f t="shared" si="10"/>
        <v>0</v>
      </c>
      <c r="S64" s="83">
        <f t="shared" si="11"/>
        <v>0</v>
      </c>
      <c r="T64" s="98">
        <f t="shared" si="12"/>
        <v>0</v>
      </c>
      <c r="U64" s="1"/>
      <c r="Z64" s="1"/>
    </row>
    <row r="65" spans="1:26" ht="15.75" customHeight="1" x14ac:dyDescent="0.25">
      <c r="A65" s="1"/>
      <c r="B65" s="145" t="s">
        <v>125</v>
      </c>
      <c r="C65" s="152">
        <v>46052</v>
      </c>
      <c r="D65" s="152" t="s">
        <v>129</v>
      </c>
      <c r="E65" s="152" t="s">
        <v>120</v>
      </c>
      <c r="F65" s="163">
        <f t="shared" si="0"/>
        <v>7.875000079248666E-2</v>
      </c>
      <c r="G65" s="164">
        <v>298112.28000000003</v>
      </c>
      <c r="H65" s="164">
        <f t="shared" si="1"/>
        <v>14905.614000000001</v>
      </c>
      <c r="I65" s="164">
        <f t="shared" si="2"/>
        <v>313017.89400000003</v>
      </c>
      <c r="J65" s="76">
        <v>3974830.36</v>
      </c>
      <c r="K65" s="77">
        <v>1348</v>
      </c>
      <c r="L65" s="78">
        <v>3974830.36</v>
      </c>
      <c r="M65" s="79">
        <v>1348</v>
      </c>
      <c r="N65" s="80">
        <f>Collections!T52</f>
        <v>17890.93</v>
      </c>
      <c r="O65" s="81">
        <f>SUM(Collections!V52:W52)</f>
        <v>120628.36999999997</v>
      </c>
      <c r="P65" s="80">
        <f t="shared" si="8"/>
        <v>138519.29999999996</v>
      </c>
      <c r="Q65" s="82">
        <f t="shared" si="9"/>
        <v>4.5010549833880212E-3</v>
      </c>
      <c r="R65" s="82">
        <f t="shared" si="10"/>
        <v>3.4849109887547497E-2</v>
      </c>
      <c r="S65" s="83">
        <f t="shared" si="11"/>
        <v>5.7156253182126381E-2</v>
      </c>
      <c r="T65" s="98">
        <f t="shared" si="12"/>
        <v>0.44252837507110676</v>
      </c>
      <c r="U65" s="1"/>
      <c r="Z65" s="1"/>
    </row>
    <row r="66" spans="1:26" ht="15.75" customHeight="1" thickBot="1" x14ac:dyDescent="0.3">
      <c r="A66" s="1"/>
      <c r="B66" s="146" t="s">
        <v>126</v>
      </c>
      <c r="C66" s="214">
        <v>46052</v>
      </c>
      <c r="D66" s="214" t="s">
        <v>129</v>
      </c>
      <c r="E66" s="214" t="s">
        <v>120</v>
      </c>
      <c r="F66" s="217">
        <f t="shared" si="0"/>
        <v>7.8750022000346975E-2</v>
      </c>
      <c r="G66" s="215">
        <v>3579.49</v>
      </c>
      <c r="H66" s="215">
        <f t="shared" si="1"/>
        <v>178.97450000000001</v>
      </c>
      <c r="I66" s="215">
        <f t="shared" si="2"/>
        <v>3758.4644999999996</v>
      </c>
      <c r="J66" s="99">
        <v>47726.52</v>
      </c>
      <c r="K66" s="100">
        <v>16</v>
      </c>
      <c r="L66" s="101">
        <v>47726.52</v>
      </c>
      <c r="M66" s="102">
        <v>16</v>
      </c>
      <c r="N66" s="80">
        <f>Collections!T53</f>
        <v>0</v>
      </c>
      <c r="O66" s="81">
        <f>SUM(Collections!V53:W53)</f>
        <v>0</v>
      </c>
      <c r="P66" s="80">
        <f t="shared" si="8"/>
        <v>0</v>
      </c>
      <c r="Q66" s="219">
        <f t="shared" si="9"/>
        <v>0</v>
      </c>
      <c r="R66" s="219">
        <f t="shared" si="10"/>
        <v>0</v>
      </c>
      <c r="S66" s="221">
        <f t="shared" si="11"/>
        <v>0</v>
      </c>
      <c r="T66" s="222">
        <f t="shared" si="12"/>
        <v>0</v>
      </c>
      <c r="U66" s="1"/>
      <c r="Z66" s="1"/>
    </row>
    <row r="67" spans="1:26" ht="16.5" thickBot="1" x14ac:dyDescent="0.3">
      <c r="A67" s="1"/>
      <c r="B67" s="33" t="s">
        <v>76</v>
      </c>
      <c r="C67" s="34"/>
      <c r="D67" s="153"/>
      <c r="E67" s="213"/>
      <c r="F67" s="154"/>
      <c r="G67" s="216">
        <f t="shared" ref="G67:P67" si="18">SUM(G18:G66)</f>
        <v>6638741.7199999997</v>
      </c>
      <c r="H67" s="35">
        <f t="shared" si="18"/>
        <v>331937.08600000007</v>
      </c>
      <c r="I67" s="35">
        <f t="shared" si="18"/>
        <v>6970678.8060000008</v>
      </c>
      <c r="J67" s="35">
        <f t="shared" si="18"/>
        <v>96848922.940000013</v>
      </c>
      <c r="K67" s="36">
        <f t="shared" si="18"/>
        <v>32073</v>
      </c>
      <c r="L67" s="35">
        <f t="shared" si="18"/>
        <v>90251441.280000001</v>
      </c>
      <c r="M67" s="36">
        <f t="shared" si="18"/>
        <v>30162</v>
      </c>
      <c r="N67" s="35">
        <f t="shared" si="18"/>
        <v>2333662.64</v>
      </c>
      <c r="O67" s="35">
        <f t="shared" si="18"/>
        <v>3226547.3500000006</v>
      </c>
      <c r="P67" s="218">
        <f t="shared" si="18"/>
        <v>5560209.9900000002</v>
      </c>
      <c r="Q67" s="220"/>
      <c r="R67" s="220"/>
      <c r="S67" s="220"/>
      <c r="T67" s="220"/>
      <c r="U67" s="1"/>
      <c r="Z67" s="1"/>
    </row>
    <row r="68" spans="1:26" ht="15.75" customHeight="1" thickBot="1" x14ac:dyDescent="0.3">
      <c r="A68" s="1"/>
      <c r="B68" s="1"/>
      <c r="C68" s="1"/>
      <c r="D68" s="1"/>
      <c r="E68" s="1"/>
      <c r="F68" s="1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1"/>
      <c r="R68" s="1"/>
      <c r="S68" s="1"/>
      <c r="T68" s="1"/>
      <c r="U68" s="1"/>
      <c r="Z68" s="1"/>
    </row>
    <row r="69" spans="1:26" ht="15.75" customHeight="1" thickBot="1" x14ac:dyDescent="0.3">
      <c r="A69" s="1"/>
      <c r="B69" s="1"/>
      <c r="C69" s="1"/>
      <c r="D69" s="13"/>
      <c r="E69" s="9"/>
      <c r="F69" s="9"/>
      <c r="G69" s="14"/>
      <c r="H69" s="9"/>
      <c r="I69" s="15"/>
      <c r="J69" s="280" t="s">
        <v>5</v>
      </c>
      <c r="K69" s="281"/>
      <c r="L69" s="280" t="s">
        <v>6</v>
      </c>
      <c r="M69" s="281"/>
      <c r="N69" s="280" t="s">
        <v>77</v>
      </c>
      <c r="O69" s="282"/>
      <c r="P69" s="281"/>
      <c r="Q69" s="280" t="s">
        <v>78</v>
      </c>
      <c r="R69" s="283"/>
      <c r="S69" s="280" t="s">
        <v>79</v>
      </c>
      <c r="T69" s="281"/>
      <c r="U69" s="1"/>
      <c r="Z69" s="1"/>
    </row>
    <row r="70" spans="1:26" ht="15.75" customHeight="1" thickBot="1" x14ac:dyDescent="0.3">
      <c r="A70" s="1"/>
      <c r="B70" s="240" t="s">
        <v>10</v>
      </c>
      <c r="C70" s="240" t="s">
        <v>11</v>
      </c>
      <c r="D70" s="240" t="s">
        <v>12</v>
      </c>
      <c r="E70" s="240" t="s">
        <v>13</v>
      </c>
      <c r="F70" s="240" t="s">
        <v>14</v>
      </c>
      <c r="G70" s="240" t="s">
        <v>15</v>
      </c>
      <c r="H70" s="240" t="s">
        <v>16</v>
      </c>
      <c r="I70" s="240" t="s">
        <v>17</v>
      </c>
      <c r="J70" s="240" t="s">
        <v>18</v>
      </c>
      <c r="K70" s="240" t="s">
        <v>19</v>
      </c>
      <c r="L70" s="240" t="s">
        <v>18</v>
      </c>
      <c r="M70" s="240" t="s">
        <v>20</v>
      </c>
      <c r="N70" s="240" t="s">
        <v>21</v>
      </c>
      <c r="O70" s="240" t="s">
        <v>22</v>
      </c>
      <c r="P70" s="240" t="s">
        <v>23</v>
      </c>
      <c r="Q70" s="240" t="s">
        <v>21</v>
      </c>
      <c r="R70" s="240" t="s">
        <v>23</v>
      </c>
      <c r="S70" s="240" t="s">
        <v>21</v>
      </c>
      <c r="T70" s="240" t="s">
        <v>23</v>
      </c>
      <c r="U70" s="1"/>
      <c r="V70" s="235" t="s">
        <v>80</v>
      </c>
      <c r="W70" s="235" t="s">
        <v>81</v>
      </c>
      <c r="X70" s="235" t="s">
        <v>82</v>
      </c>
      <c r="Y70" s="235" t="s">
        <v>83</v>
      </c>
      <c r="Z70" s="1"/>
    </row>
    <row r="71" spans="1:26" ht="15.75" customHeight="1" x14ac:dyDescent="0.25">
      <c r="A71" s="1"/>
      <c r="B71" s="239">
        <v>1401</v>
      </c>
      <c r="C71" s="241">
        <f t="shared" ref="C71:C83" si="19">C18</f>
        <v>45657</v>
      </c>
      <c r="D71" s="241" t="s">
        <v>24</v>
      </c>
      <c r="E71" s="241" t="str">
        <f t="shared" ref="E71:E83" si="20">E18</f>
        <v>FE6001</v>
      </c>
      <c r="F71" s="242">
        <f t="shared" ref="F71:F115" si="21">I71/J71</f>
        <v>8.9250008756875193E-2</v>
      </c>
      <c r="G71" s="243">
        <v>42296.77</v>
      </c>
      <c r="H71" s="243">
        <v>2114.8384999999998</v>
      </c>
      <c r="I71" s="243">
        <f t="shared" ref="I71:I115" si="22">G71+H71</f>
        <v>44411.608499999995</v>
      </c>
      <c r="J71" s="244">
        <v>497609.01</v>
      </c>
      <c r="K71" s="245">
        <v>86</v>
      </c>
      <c r="L71" s="246">
        <v>497609.01</v>
      </c>
      <c r="M71" s="247">
        <v>86</v>
      </c>
      <c r="N71" s="248">
        <f>+Collections!T60</f>
        <v>47848.9</v>
      </c>
      <c r="O71" s="248">
        <f>SUM(Collections!V60:W60)</f>
        <v>15024.019999999999</v>
      </c>
      <c r="P71" s="248">
        <f t="shared" ref="P71" si="23">N71+O71</f>
        <v>62872.92</v>
      </c>
      <c r="Q71" s="249">
        <f t="shared" ref="Q71" si="24">N71/J71</f>
        <v>9.6157623834021821E-2</v>
      </c>
      <c r="R71" s="249">
        <f t="shared" ref="R71" si="25">P71/J71</f>
        <v>0.12635004338044442</v>
      </c>
      <c r="S71" s="250">
        <f t="shared" ref="S71" si="26">N71/I71</f>
        <v>1.0773962397691588</v>
      </c>
      <c r="T71" s="251">
        <f t="shared" ref="T71" si="27">P71/I71</f>
        <v>1.415686621663343</v>
      </c>
      <c r="U71" s="1"/>
      <c r="V71" s="223">
        <v>1401</v>
      </c>
      <c r="W71" s="224">
        <v>35529.827499999999</v>
      </c>
      <c r="X71" s="224"/>
      <c r="Y71" s="225">
        <f t="shared" ref="Y71:Y83" si="28">SUM(W71:X71)/I71</f>
        <v>0.80001217474480812</v>
      </c>
      <c r="Z71" s="1"/>
    </row>
    <row r="72" spans="1:26" ht="15.75" customHeight="1" x14ac:dyDescent="0.25">
      <c r="A72" s="1"/>
      <c r="B72" s="21" t="s">
        <v>26</v>
      </c>
      <c r="C72" s="22">
        <f t="shared" si="19"/>
        <v>45657</v>
      </c>
      <c r="D72" s="22" t="s">
        <v>24</v>
      </c>
      <c r="E72" s="22" t="str">
        <f t="shared" si="20"/>
        <v>FE6002</v>
      </c>
      <c r="F72" s="23">
        <f t="shared" si="21"/>
        <v>7.3500004623779577E-2</v>
      </c>
      <c r="G72" s="24">
        <v>25433.74</v>
      </c>
      <c r="H72" s="24">
        <v>1271.6870000000001</v>
      </c>
      <c r="I72" s="24">
        <f t="shared" si="22"/>
        <v>26705.427000000003</v>
      </c>
      <c r="J72" s="25">
        <v>363339.12</v>
      </c>
      <c r="K72" s="26">
        <v>70</v>
      </c>
      <c r="L72" s="27">
        <v>363339.12</v>
      </c>
      <c r="M72" s="28">
        <v>70</v>
      </c>
      <c r="N72" s="29">
        <f>Collections!T61+Collections!Y61</f>
        <v>11175.98</v>
      </c>
      <c r="O72" s="29">
        <f>SUM(Collections!V61:W61)</f>
        <v>646.6400000000001</v>
      </c>
      <c r="P72" s="29">
        <f t="shared" ref="P72:P119" si="29">N72+O72</f>
        <v>11822.619999999999</v>
      </c>
      <c r="Q72" s="30">
        <f t="shared" ref="Q72:Q119" si="30">N72/J72</f>
        <v>3.0759088093789626E-2</v>
      </c>
      <c r="R72" s="30">
        <f t="shared" ref="R72:R119" si="31">P72/J72</f>
        <v>3.2538802868240554E-2</v>
      </c>
      <c r="S72" s="31">
        <f t="shared" ref="S72:S119" si="32">N72/I72</f>
        <v>0.41849096814666165</v>
      </c>
      <c r="T72" s="32">
        <f t="shared" ref="T72:T119" si="33">P72/I72</f>
        <v>0.44270477307852063</v>
      </c>
      <c r="U72" s="1"/>
      <c r="V72" s="226" t="s">
        <v>26</v>
      </c>
      <c r="W72" s="38">
        <v>9961.9800000000014</v>
      </c>
      <c r="X72" s="38"/>
      <c r="Y72" s="227">
        <f t="shared" si="28"/>
        <v>0.37303204326221784</v>
      </c>
      <c r="Z72" s="1"/>
    </row>
    <row r="73" spans="1:26" ht="15.75" customHeight="1" x14ac:dyDescent="0.25">
      <c r="A73" s="1"/>
      <c r="B73" s="21">
        <v>1402</v>
      </c>
      <c r="C73" s="22">
        <f t="shared" si="19"/>
        <v>45688</v>
      </c>
      <c r="D73" s="22" t="s">
        <v>24</v>
      </c>
      <c r="E73" s="22" t="str">
        <f t="shared" si="20"/>
        <v>FE6003</v>
      </c>
      <c r="F73" s="23">
        <f t="shared" si="21"/>
        <v>8.9249978082919845E-2</v>
      </c>
      <c r="G73" s="24">
        <v>23618.560000000001</v>
      </c>
      <c r="H73" s="24">
        <v>1180.9280000000001</v>
      </c>
      <c r="I73" s="24">
        <f t="shared" si="22"/>
        <v>24799.488000000001</v>
      </c>
      <c r="J73" s="25">
        <v>277865.48</v>
      </c>
      <c r="K73" s="26">
        <v>49</v>
      </c>
      <c r="L73" s="27">
        <v>244581.02999999997</v>
      </c>
      <c r="M73" s="28">
        <v>44</v>
      </c>
      <c r="N73" s="29">
        <f>Collections!T62+Collections!Y62</f>
        <v>15878.50336875</v>
      </c>
      <c r="O73" s="29">
        <f>SUM(Collections!V62:W62)</f>
        <v>13175.759999999997</v>
      </c>
      <c r="P73" s="29">
        <f t="shared" si="29"/>
        <v>29054.263368749998</v>
      </c>
      <c r="Q73" s="30">
        <f t="shared" si="30"/>
        <v>5.7144569986707243E-2</v>
      </c>
      <c r="R73" s="30">
        <f t="shared" si="31"/>
        <v>0.10456233487063596</v>
      </c>
      <c r="S73" s="31">
        <f t="shared" si="32"/>
        <v>0.64027545120084739</v>
      </c>
      <c r="T73" s="32">
        <f t="shared" si="33"/>
        <v>1.171567064963196</v>
      </c>
      <c r="U73" s="1"/>
      <c r="V73" s="226">
        <v>1402</v>
      </c>
      <c r="W73" s="38">
        <v>12772.269</v>
      </c>
      <c r="X73" s="38">
        <v>3827.71</v>
      </c>
      <c r="Y73" s="227">
        <f t="shared" si="28"/>
        <v>0.66936781114190735</v>
      </c>
      <c r="Z73" s="1"/>
    </row>
    <row r="74" spans="1:26" ht="15.75" customHeight="1" x14ac:dyDescent="0.25">
      <c r="A74" s="1"/>
      <c r="B74" s="21">
        <v>1403</v>
      </c>
      <c r="C74" s="22">
        <f t="shared" si="19"/>
        <v>45719</v>
      </c>
      <c r="D74" s="22" t="s">
        <v>24</v>
      </c>
      <c r="E74" s="22" t="str">
        <f t="shared" si="20"/>
        <v>NEXA001</v>
      </c>
      <c r="F74" s="23">
        <f t="shared" si="21"/>
        <v>8.9250009024774299E-2</v>
      </c>
      <c r="G74" s="24">
        <v>19778.89</v>
      </c>
      <c r="H74" s="24">
        <v>988.94450000000006</v>
      </c>
      <c r="I74" s="24">
        <f t="shared" si="22"/>
        <v>20767.834500000001</v>
      </c>
      <c r="J74" s="25">
        <v>232692.8</v>
      </c>
      <c r="K74" s="26">
        <v>38</v>
      </c>
      <c r="L74" s="27">
        <v>211927.38</v>
      </c>
      <c r="M74" s="28">
        <v>34</v>
      </c>
      <c r="N74" s="29">
        <f>Collections!T63+Collections!Y63</f>
        <v>17305.930969999998</v>
      </c>
      <c r="O74" s="29">
        <f>SUM(Collections!V63:W63)</f>
        <v>8030.18</v>
      </c>
      <c r="P74" s="29">
        <f t="shared" si="29"/>
        <v>25336.110969999998</v>
      </c>
      <c r="Q74" s="30">
        <f t="shared" si="30"/>
        <v>7.4372438554179576E-2</v>
      </c>
      <c r="R74" s="30">
        <f t="shared" si="31"/>
        <v>0.10888223000453817</v>
      </c>
      <c r="S74" s="31">
        <f t="shared" si="32"/>
        <v>0.83330454939825316</v>
      </c>
      <c r="T74" s="32">
        <f t="shared" si="33"/>
        <v>1.2199688402755713</v>
      </c>
      <c r="U74" s="1"/>
      <c r="V74" s="226">
        <v>1403</v>
      </c>
      <c r="W74" s="38">
        <v>13239.807999999997</v>
      </c>
      <c r="X74" s="38">
        <v>2388.02</v>
      </c>
      <c r="Y74" s="227">
        <f t="shared" si="28"/>
        <v>0.75250156678588698</v>
      </c>
      <c r="Z74" s="1"/>
    </row>
    <row r="75" spans="1:26" ht="15.75" customHeight="1" x14ac:dyDescent="0.25">
      <c r="A75" s="1"/>
      <c r="B75" s="21">
        <v>1404</v>
      </c>
      <c r="C75" s="22">
        <f t="shared" si="19"/>
        <v>45749</v>
      </c>
      <c r="D75" s="22" t="s">
        <v>24</v>
      </c>
      <c r="E75" s="22" t="str">
        <f t="shared" si="20"/>
        <v>NEXA002</v>
      </c>
      <c r="F75" s="23">
        <f t="shared" si="21"/>
        <v>8.9250003690024754E-2</v>
      </c>
      <c r="G75" s="24">
        <v>15721.44</v>
      </c>
      <c r="H75" s="24">
        <v>786.07200000000012</v>
      </c>
      <c r="I75" s="24">
        <f t="shared" si="22"/>
        <v>16507.512000000002</v>
      </c>
      <c r="J75" s="25">
        <v>184958.11</v>
      </c>
      <c r="K75" s="26">
        <v>32</v>
      </c>
      <c r="L75" s="27">
        <v>179101.96</v>
      </c>
      <c r="M75" s="28">
        <v>31</v>
      </c>
      <c r="N75" s="29">
        <f>Collections!T64+Collections!Y64</f>
        <v>10338.901525000003</v>
      </c>
      <c r="O75" s="29">
        <f>SUM(Collections!V64:W64)</f>
        <v>5781.82</v>
      </c>
      <c r="P75" s="29">
        <f t="shared" si="29"/>
        <v>16120.721525000003</v>
      </c>
      <c r="Q75" s="30">
        <f t="shared" si="30"/>
        <v>5.5898611447748915E-2</v>
      </c>
      <c r="R75" s="30">
        <f t="shared" si="31"/>
        <v>8.7158770842760039E-2</v>
      </c>
      <c r="S75" s="31">
        <f t="shared" si="32"/>
        <v>0.62631494830959389</v>
      </c>
      <c r="T75" s="32">
        <f t="shared" si="33"/>
        <v>0.97656882060724837</v>
      </c>
      <c r="U75" s="1"/>
      <c r="V75" s="226">
        <v>1404</v>
      </c>
      <c r="W75" s="38">
        <v>6494.8770000000004</v>
      </c>
      <c r="X75" s="38">
        <v>673.46</v>
      </c>
      <c r="Y75" s="227">
        <f t="shared" si="28"/>
        <v>0.43424696586620681</v>
      </c>
      <c r="Z75" s="1"/>
    </row>
    <row r="76" spans="1:26" ht="15.75" customHeight="1" x14ac:dyDescent="0.25">
      <c r="A76" s="1"/>
      <c r="B76" s="21">
        <v>1405</v>
      </c>
      <c r="C76" s="22">
        <f t="shared" si="19"/>
        <v>45776</v>
      </c>
      <c r="D76" s="22" t="s">
        <v>24</v>
      </c>
      <c r="E76" s="22" t="str">
        <f t="shared" si="20"/>
        <v>NEXA003</v>
      </c>
      <c r="F76" s="23">
        <f t="shared" si="21"/>
        <v>8.9249998550665829E-2</v>
      </c>
      <c r="G76" s="24">
        <v>21553</v>
      </c>
      <c r="H76" s="24">
        <v>1077.6500000000001</v>
      </c>
      <c r="I76" s="24">
        <f t="shared" si="22"/>
        <v>22630.65</v>
      </c>
      <c r="J76" s="25">
        <v>253564.71</v>
      </c>
      <c r="K76" s="26">
        <v>42</v>
      </c>
      <c r="L76" s="27">
        <v>203169.09999999998</v>
      </c>
      <c r="M76" s="28">
        <v>34</v>
      </c>
      <c r="N76" s="29">
        <f>Collections!T65+Collections!Y65</f>
        <v>15491.825635000001</v>
      </c>
      <c r="O76" s="29">
        <f>SUM(Collections!V65:W65)</f>
        <v>10271.67</v>
      </c>
      <c r="P76" s="29">
        <f t="shared" si="29"/>
        <v>25763.495634999999</v>
      </c>
      <c r="Q76" s="30">
        <f t="shared" si="30"/>
        <v>6.1096142420607354E-2</v>
      </c>
      <c r="R76" s="30">
        <f t="shared" si="31"/>
        <v>0.10160521010593311</v>
      </c>
      <c r="S76" s="31">
        <f t="shared" si="32"/>
        <v>0.68455062647338893</v>
      </c>
      <c r="T76" s="32">
        <f t="shared" si="33"/>
        <v>1.138433745164191</v>
      </c>
      <c r="U76" s="1"/>
      <c r="V76" s="226">
        <v>1405</v>
      </c>
      <c r="W76" s="38">
        <v>12254</v>
      </c>
      <c r="X76" s="38">
        <v>5795.5</v>
      </c>
      <c r="Y76" s="227">
        <f t="shared" si="28"/>
        <v>0.79756878392799146</v>
      </c>
      <c r="Z76" s="1"/>
    </row>
    <row r="77" spans="1:26" ht="15.75" customHeight="1" x14ac:dyDescent="0.25">
      <c r="A77" s="1"/>
      <c r="B77" s="21">
        <v>1406</v>
      </c>
      <c r="C77" s="22">
        <f t="shared" si="19"/>
        <v>45806</v>
      </c>
      <c r="D77" s="22" t="s">
        <v>24</v>
      </c>
      <c r="E77" s="22" t="str">
        <f t="shared" si="20"/>
        <v>NEXA004</v>
      </c>
      <c r="F77" s="23">
        <f t="shared" si="21"/>
        <v>8.9250014660342006E-2</v>
      </c>
      <c r="G77" s="24">
        <v>21611.88</v>
      </c>
      <c r="H77" s="24">
        <v>1080.5940000000001</v>
      </c>
      <c r="I77" s="24">
        <f t="shared" si="22"/>
        <v>22692.474000000002</v>
      </c>
      <c r="J77" s="25">
        <v>254257.37</v>
      </c>
      <c r="K77" s="26">
        <v>44</v>
      </c>
      <c r="L77" s="27">
        <v>223866.91999999998</v>
      </c>
      <c r="M77" s="28">
        <v>39</v>
      </c>
      <c r="N77" s="29">
        <f>Collections!T66+Collections!Y66</f>
        <v>11863.521574999997</v>
      </c>
      <c r="O77" s="29">
        <f>SUM(Collections!V66:W66)</f>
        <v>8969.8599999999988</v>
      </c>
      <c r="P77" s="29">
        <f t="shared" si="29"/>
        <v>20833.381574999996</v>
      </c>
      <c r="Q77" s="30">
        <f t="shared" si="30"/>
        <v>4.6659499290030403E-2</v>
      </c>
      <c r="R77" s="30">
        <f t="shared" si="31"/>
        <v>8.193816200883379E-2</v>
      </c>
      <c r="S77" s="31">
        <f t="shared" si="32"/>
        <v>0.52279542437726256</v>
      </c>
      <c r="T77" s="32">
        <f t="shared" si="33"/>
        <v>0.91807449355235549</v>
      </c>
      <c r="U77" s="1"/>
      <c r="V77" s="226">
        <v>1406</v>
      </c>
      <c r="W77" s="38">
        <v>10616.699000000001</v>
      </c>
      <c r="X77" s="38">
        <v>3494.9</v>
      </c>
      <c r="Y77" s="227">
        <f t="shared" si="28"/>
        <v>0.62186251706182405</v>
      </c>
      <c r="Z77" s="1"/>
    </row>
    <row r="78" spans="1:26" ht="15.75" customHeight="1" x14ac:dyDescent="0.25">
      <c r="A78" s="1"/>
      <c r="B78" s="21">
        <v>1407</v>
      </c>
      <c r="C78" s="22">
        <f t="shared" si="19"/>
        <v>45835</v>
      </c>
      <c r="D78" s="22" t="s">
        <v>24</v>
      </c>
      <c r="E78" s="22" t="str">
        <f t="shared" si="20"/>
        <v>FE6008</v>
      </c>
      <c r="F78" s="23">
        <f t="shared" si="21"/>
        <v>8.9250013751496535E-2</v>
      </c>
      <c r="G78" s="24">
        <v>17523.55</v>
      </c>
      <c r="H78" s="24">
        <v>876.17750000000001</v>
      </c>
      <c r="I78" s="24">
        <f t="shared" si="22"/>
        <v>18399.727500000001</v>
      </c>
      <c r="J78" s="25">
        <v>206159.38</v>
      </c>
      <c r="K78" s="26">
        <v>31</v>
      </c>
      <c r="L78" s="27">
        <v>175162.58000000002</v>
      </c>
      <c r="M78" s="28">
        <v>26</v>
      </c>
      <c r="N78" s="29">
        <f>Collections!T67+Collections!Y67</f>
        <v>15413.694600000003</v>
      </c>
      <c r="O78" s="29">
        <f>SUM(Collections!V67:W67)</f>
        <v>4343.7699999999995</v>
      </c>
      <c r="P78" s="29">
        <f t="shared" si="29"/>
        <v>19757.464600000003</v>
      </c>
      <c r="Q78" s="30">
        <f t="shared" si="30"/>
        <v>7.476591460451619E-2</v>
      </c>
      <c r="R78" s="30">
        <f t="shared" si="31"/>
        <v>9.5835875136993542E-2</v>
      </c>
      <c r="S78" s="31">
        <f t="shared" si="32"/>
        <v>0.8377131998286389</v>
      </c>
      <c r="T78" s="32">
        <f t="shared" si="33"/>
        <v>1.0737911526135375</v>
      </c>
      <c r="U78" s="1"/>
      <c r="V78" s="226">
        <v>1407</v>
      </c>
      <c r="W78" s="38">
        <v>20164.989000000001</v>
      </c>
      <c r="X78" s="38">
        <v>3564.63</v>
      </c>
      <c r="Y78" s="227">
        <f t="shared" si="28"/>
        <v>1.2896723062882318</v>
      </c>
      <c r="Z78" s="1"/>
    </row>
    <row r="79" spans="1:26" ht="15.75" customHeight="1" x14ac:dyDescent="0.25">
      <c r="A79" s="1"/>
      <c r="B79" s="21">
        <v>1408</v>
      </c>
      <c r="C79" s="22">
        <f t="shared" si="19"/>
        <v>45866</v>
      </c>
      <c r="D79" s="22" t="s">
        <v>24</v>
      </c>
      <c r="E79" s="22" t="str">
        <f t="shared" si="20"/>
        <v>NEXA005</v>
      </c>
      <c r="F79" s="23">
        <f t="shared" si="21"/>
        <v>8.9249990890032133E-2</v>
      </c>
      <c r="G79" s="24">
        <v>41637.08</v>
      </c>
      <c r="H79" s="24">
        <v>2081.8540000000003</v>
      </c>
      <c r="I79" s="24">
        <f t="shared" si="22"/>
        <v>43718.934000000001</v>
      </c>
      <c r="J79" s="25">
        <v>489848.05</v>
      </c>
      <c r="K79" s="26">
        <v>85</v>
      </c>
      <c r="L79" s="27">
        <v>420466.02</v>
      </c>
      <c r="M79" s="28">
        <v>75</v>
      </c>
      <c r="N79" s="29">
        <f>Collections!T68+Collections!Y68</f>
        <v>33813.990104999997</v>
      </c>
      <c r="O79" s="29">
        <f>SUM(Collections!V68:W68)</f>
        <v>36509.339999999997</v>
      </c>
      <c r="P79" s="29">
        <f t="shared" si="29"/>
        <v>70323.330105000001</v>
      </c>
      <c r="Q79" s="30">
        <f t="shared" si="30"/>
        <v>6.9029549275535548E-2</v>
      </c>
      <c r="R79" s="30">
        <f t="shared" si="31"/>
        <v>0.14356151893428992</v>
      </c>
      <c r="S79" s="31">
        <f t="shared" si="32"/>
        <v>0.77344040696417704</v>
      </c>
      <c r="T79" s="32">
        <f t="shared" si="33"/>
        <v>1.6085325892209541</v>
      </c>
      <c r="U79" s="1"/>
      <c r="V79" s="226">
        <v>1408</v>
      </c>
      <c r="W79" s="38">
        <v>19836.322250000001</v>
      </c>
      <c r="X79" s="38">
        <v>7978.93</v>
      </c>
      <c r="Y79" s="227">
        <f t="shared" si="28"/>
        <v>0.63622896775113502</v>
      </c>
      <c r="Z79" s="1"/>
    </row>
    <row r="80" spans="1:26" ht="15.75" customHeight="1" x14ac:dyDescent="0.25">
      <c r="A80" s="1"/>
      <c r="B80" s="21">
        <v>1409</v>
      </c>
      <c r="C80" s="22">
        <f t="shared" si="19"/>
        <v>45896</v>
      </c>
      <c r="D80" s="22" t="s">
        <v>24</v>
      </c>
      <c r="E80" s="22" t="str">
        <f t="shared" si="20"/>
        <v>NEXA006</v>
      </c>
      <c r="F80" s="23">
        <f t="shared" si="21"/>
        <v>8.9249998307408762E-2</v>
      </c>
      <c r="G80" s="24">
        <v>31637.88</v>
      </c>
      <c r="H80" s="24">
        <v>1581.8940000000002</v>
      </c>
      <c r="I80" s="24">
        <f t="shared" si="22"/>
        <v>33219.774000000005</v>
      </c>
      <c r="J80" s="25">
        <v>372210.36</v>
      </c>
      <c r="K80" s="26">
        <v>64</v>
      </c>
      <c r="L80" s="27">
        <v>287940.34999999998</v>
      </c>
      <c r="M80" s="28">
        <v>51</v>
      </c>
      <c r="N80" s="29">
        <f>Collections!T69+Collections!Y69</f>
        <v>20047.836035</v>
      </c>
      <c r="O80" s="29">
        <f>SUM(Collections!V69:W69)</f>
        <v>35087.880000000005</v>
      </c>
      <c r="P80" s="29">
        <f t="shared" si="29"/>
        <v>55135.716035000005</v>
      </c>
      <c r="Q80" s="30">
        <f t="shared" si="30"/>
        <v>5.3861574500505577E-2</v>
      </c>
      <c r="R80" s="30">
        <f t="shared" si="31"/>
        <v>0.1481305249939846</v>
      </c>
      <c r="S80" s="31">
        <f t="shared" si="32"/>
        <v>0.60349104226296058</v>
      </c>
      <c r="T80" s="32">
        <f t="shared" si="33"/>
        <v>1.6597258017167726</v>
      </c>
      <c r="U80" s="1"/>
      <c r="V80" s="226">
        <v>1409</v>
      </c>
      <c r="W80" s="38">
        <v>11397.754999999999</v>
      </c>
      <c r="X80" s="38">
        <v>9691.0499999999993</v>
      </c>
      <c r="Y80" s="227">
        <f t="shared" si="28"/>
        <v>0.63482686546874156</v>
      </c>
      <c r="Z80" s="1"/>
    </row>
    <row r="81" spans="1:26" ht="15.75" customHeight="1" x14ac:dyDescent="0.25">
      <c r="A81" s="1"/>
      <c r="B81" s="21">
        <v>1410</v>
      </c>
      <c r="C81" s="22">
        <f t="shared" si="19"/>
        <v>45930</v>
      </c>
      <c r="D81" s="22" t="s">
        <v>24</v>
      </c>
      <c r="E81" s="22" t="str">
        <f t="shared" si="20"/>
        <v>NEXA007</v>
      </c>
      <c r="F81" s="23">
        <f t="shared" si="21"/>
        <v>8.9249997384094185E-2</v>
      </c>
      <c r="G81" s="24">
        <v>40941.839999999997</v>
      </c>
      <c r="H81" s="24">
        <v>2047.0919999999999</v>
      </c>
      <c r="I81" s="24">
        <f t="shared" si="22"/>
        <v>42988.931999999993</v>
      </c>
      <c r="J81" s="25">
        <v>481668.72</v>
      </c>
      <c r="K81" s="26">
        <v>84</v>
      </c>
      <c r="L81" s="27">
        <v>481668.72</v>
      </c>
      <c r="M81" s="28">
        <v>84</v>
      </c>
      <c r="N81" s="29">
        <f>Collections!T70+Collections!Y70</f>
        <v>10294.39</v>
      </c>
      <c r="O81" s="29">
        <f>SUM(Collections!V70:W70)</f>
        <v>15184.749999999998</v>
      </c>
      <c r="P81" s="29">
        <f t="shared" si="29"/>
        <v>25479.14</v>
      </c>
      <c r="Q81" s="30">
        <f t="shared" si="30"/>
        <v>2.137234487637063E-2</v>
      </c>
      <c r="R81" s="30">
        <f t="shared" si="31"/>
        <v>5.2897643010739834E-2</v>
      </c>
      <c r="S81" s="31">
        <f t="shared" si="32"/>
        <v>0.23946605605368379</v>
      </c>
      <c r="T81" s="32">
        <f t="shared" si="33"/>
        <v>0.59269069536316932</v>
      </c>
      <c r="U81" s="1"/>
      <c r="V81" s="226">
        <v>1410</v>
      </c>
      <c r="W81" s="38">
        <v>2767.52</v>
      </c>
      <c r="X81" s="38"/>
      <c r="Y81" s="227">
        <f t="shared" si="28"/>
        <v>6.437750070180856E-2</v>
      </c>
      <c r="Z81" s="1"/>
    </row>
    <row r="82" spans="1:26" ht="15.75" customHeight="1" x14ac:dyDescent="0.25">
      <c r="A82" s="1"/>
      <c r="B82" s="21">
        <v>1411</v>
      </c>
      <c r="C82" s="22">
        <f t="shared" si="19"/>
        <v>45959</v>
      </c>
      <c r="D82" s="22" t="s">
        <v>24</v>
      </c>
      <c r="E82" s="22" t="str">
        <f t="shared" si="20"/>
        <v>NEXA011</v>
      </c>
      <c r="F82" s="23">
        <f t="shared" si="21"/>
        <v>8.9250005354973544E-2</v>
      </c>
      <c r="G82" s="24">
        <v>40000.199999999997</v>
      </c>
      <c r="H82" s="24">
        <v>2000.01</v>
      </c>
      <c r="I82" s="24">
        <f t="shared" si="22"/>
        <v>42000.21</v>
      </c>
      <c r="J82" s="25">
        <v>470590.56</v>
      </c>
      <c r="K82" s="26">
        <v>83</v>
      </c>
      <c r="L82" s="27">
        <v>470590.56</v>
      </c>
      <c r="M82" s="28">
        <v>83</v>
      </c>
      <c r="N82" s="29">
        <f>Collections!T71+Collections!Y71</f>
        <v>6220.85</v>
      </c>
      <c r="O82" s="29">
        <f>SUM(Collections!V71:W71)</f>
        <v>23815.710000000021</v>
      </c>
      <c r="P82" s="29">
        <f t="shared" si="29"/>
        <v>30036.560000000019</v>
      </c>
      <c r="Q82" s="30">
        <f t="shared" si="30"/>
        <v>1.3219240946949724E-2</v>
      </c>
      <c r="R82" s="30">
        <f t="shared" si="31"/>
        <v>6.3827374692769057E-2</v>
      </c>
      <c r="S82" s="31">
        <f t="shared" si="32"/>
        <v>0.14811473561679811</v>
      </c>
      <c r="T82" s="32">
        <f t="shared" si="33"/>
        <v>0.71515261471311742</v>
      </c>
      <c r="U82" s="1"/>
      <c r="V82" s="226">
        <v>1411</v>
      </c>
      <c r="W82" s="38">
        <v>0</v>
      </c>
      <c r="X82" s="38"/>
      <c r="Y82" s="227">
        <f t="shared" si="28"/>
        <v>0</v>
      </c>
      <c r="Z82" s="1"/>
    </row>
    <row r="83" spans="1:26" ht="15.75" customHeight="1" x14ac:dyDescent="0.25">
      <c r="A83" s="1"/>
      <c r="B83" s="147">
        <v>1412</v>
      </c>
      <c r="C83" s="155">
        <f t="shared" si="19"/>
        <v>45986</v>
      </c>
      <c r="D83" s="155" t="s">
        <v>24</v>
      </c>
      <c r="E83" s="155" t="str">
        <f t="shared" si="20"/>
        <v>OPEN</v>
      </c>
      <c r="F83" s="165">
        <f t="shared" si="21"/>
        <v>8.9249989257767434E-2</v>
      </c>
      <c r="G83" s="166">
        <v>29909.98</v>
      </c>
      <c r="H83" s="166">
        <f t="shared" ref="H83" si="34">G83*5%</f>
        <v>1495.499</v>
      </c>
      <c r="I83" s="166">
        <f t="shared" si="22"/>
        <v>31405.478999999999</v>
      </c>
      <c r="J83" s="25">
        <v>351882.16</v>
      </c>
      <c r="K83" s="26">
        <v>62</v>
      </c>
      <c r="L83" s="27">
        <v>351882.16</v>
      </c>
      <c r="M83" s="28">
        <v>62</v>
      </c>
      <c r="N83" s="29">
        <f>Collections!T72+Collections!Y72</f>
        <v>7721.7800000000007</v>
      </c>
      <c r="O83" s="29">
        <f>SUM(Collections!V72:W72)</f>
        <v>14491.36</v>
      </c>
      <c r="P83" s="29">
        <f t="shared" si="29"/>
        <v>22213.14</v>
      </c>
      <c r="Q83" s="30">
        <f t="shared" si="30"/>
        <v>2.1944221326821459E-2</v>
      </c>
      <c r="R83" s="30">
        <f t="shared" si="31"/>
        <v>6.3126644442559984E-2</v>
      </c>
      <c r="S83" s="31">
        <f t="shared" si="32"/>
        <v>0.24587365790536106</v>
      </c>
      <c r="T83" s="32">
        <f t="shared" si="33"/>
        <v>0.70730142342360069</v>
      </c>
      <c r="U83" s="1"/>
      <c r="V83" s="226">
        <v>1412</v>
      </c>
      <c r="W83" s="38"/>
      <c r="X83" s="38"/>
      <c r="Y83" s="227">
        <f t="shared" si="28"/>
        <v>0</v>
      </c>
      <c r="Z83" s="1"/>
    </row>
    <row r="84" spans="1:26" ht="15.75" customHeight="1" x14ac:dyDescent="0.25">
      <c r="A84" s="1"/>
      <c r="B84" s="147">
        <v>1413</v>
      </c>
      <c r="C84" s="155">
        <v>46021</v>
      </c>
      <c r="D84" s="155" t="s">
        <v>127</v>
      </c>
      <c r="E84" s="155" t="s">
        <v>120</v>
      </c>
      <c r="F84" s="165">
        <v>8.9250006654400471E-2</v>
      </c>
      <c r="G84" s="166">
        <v>43589.58</v>
      </c>
      <c r="H84" s="166">
        <v>2179.4790000000003</v>
      </c>
      <c r="I84" s="166">
        <v>45769.059000000001</v>
      </c>
      <c r="J84" s="25">
        <v>512818.55</v>
      </c>
      <c r="K84" s="26">
        <v>86</v>
      </c>
      <c r="L84" s="27">
        <v>512818.55</v>
      </c>
      <c r="M84" s="28">
        <v>86</v>
      </c>
      <c r="N84" s="29">
        <f>Collections!T73+Collections!Y73</f>
        <v>336.3</v>
      </c>
      <c r="O84" s="29">
        <f>SUM(Collections!V73:W73)</f>
        <v>12228.000000000002</v>
      </c>
      <c r="P84" s="29">
        <f t="shared" si="29"/>
        <v>12564.300000000001</v>
      </c>
      <c r="Q84" s="30">
        <f t="shared" si="30"/>
        <v>6.5578751002669461E-4</v>
      </c>
      <c r="R84" s="30">
        <f t="shared" si="31"/>
        <v>2.4500478775582517E-2</v>
      </c>
      <c r="S84" s="31">
        <f t="shared" si="32"/>
        <v>7.3477586681430351E-3</v>
      </c>
      <c r="T84" s="32">
        <f t="shared" si="33"/>
        <v>0.27451514788626091</v>
      </c>
      <c r="U84" s="1"/>
      <c r="V84" s="226">
        <v>1413</v>
      </c>
      <c r="W84" s="38"/>
      <c r="X84" s="38"/>
      <c r="Y84" s="227">
        <f t="shared" ref="Y84:Y85" si="35">SUM(W84:X84)/I84</f>
        <v>0</v>
      </c>
      <c r="Z84" s="1"/>
    </row>
    <row r="85" spans="1:26" ht="15.75" customHeight="1" x14ac:dyDescent="0.25">
      <c r="A85" s="1"/>
      <c r="B85" s="147">
        <v>1414</v>
      </c>
      <c r="C85" s="155">
        <v>46052</v>
      </c>
      <c r="D85" s="155" t="s">
        <v>127</v>
      </c>
      <c r="E85" s="155" t="s">
        <v>120</v>
      </c>
      <c r="F85" s="165">
        <v>8.925000389045222E-2</v>
      </c>
      <c r="G85" s="166">
        <v>43587.48</v>
      </c>
      <c r="H85" s="166">
        <v>2179.3740000000003</v>
      </c>
      <c r="I85" s="166">
        <v>45766.854000000007</v>
      </c>
      <c r="J85" s="25">
        <v>512793.86</v>
      </c>
      <c r="K85" s="26">
        <v>89</v>
      </c>
      <c r="L85" s="27">
        <v>512793.86</v>
      </c>
      <c r="M85" s="28">
        <v>89</v>
      </c>
      <c r="N85" s="29">
        <f>Collections!T74+Collections!Y74</f>
        <v>0</v>
      </c>
      <c r="O85" s="29">
        <f>SUM(Collections!V74:W74)</f>
        <v>0</v>
      </c>
      <c r="P85" s="29">
        <f t="shared" si="29"/>
        <v>0</v>
      </c>
      <c r="Q85" s="30">
        <f t="shared" si="30"/>
        <v>0</v>
      </c>
      <c r="R85" s="30">
        <f t="shared" si="31"/>
        <v>0</v>
      </c>
      <c r="S85" s="31">
        <f t="shared" si="32"/>
        <v>0</v>
      </c>
      <c r="T85" s="32">
        <f t="shared" si="33"/>
        <v>0</v>
      </c>
      <c r="U85" s="1"/>
      <c r="V85" s="226">
        <v>1414</v>
      </c>
      <c r="W85" s="38"/>
      <c r="X85" s="38"/>
      <c r="Y85" s="227">
        <f t="shared" si="35"/>
        <v>0</v>
      </c>
      <c r="Z85" s="1"/>
    </row>
    <row r="86" spans="1:26" ht="15.75" customHeight="1" x14ac:dyDescent="0.25">
      <c r="A86" s="1"/>
      <c r="B86" s="21">
        <v>1501</v>
      </c>
      <c r="C86" s="22">
        <f t="shared" ref="C86:C106" si="36">C33</f>
        <v>45719</v>
      </c>
      <c r="D86" s="22" t="s">
        <v>37</v>
      </c>
      <c r="E86" s="22" t="str">
        <f t="shared" ref="E86:E106" si="37">E33</f>
        <v>Source001</v>
      </c>
      <c r="F86" s="23">
        <f t="shared" si="21"/>
        <v>6.8250001004874827E-2</v>
      </c>
      <c r="G86" s="24">
        <v>163005.38</v>
      </c>
      <c r="H86" s="24">
        <v>8150.2690000000002</v>
      </c>
      <c r="I86" s="24">
        <f t="shared" si="22"/>
        <v>171155.649</v>
      </c>
      <c r="J86" s="25">
        <v>2507775.04</v>
      </c>
      <c r="K86" s="26">
        <v>845</v>
      </c>
      <c r="L86" s="27">
        <v>2507775.04</v>
      </c>
      <c r="M86" s="28">
        <v>845</v>
      </c>
      <c r="N86" s="29">
        <f>Collections!T75+Collections!Y75</f>
        <v>102488.02</v>
      </c>
      <c r="O86" s="29">
        <f>SUM(Collections!V75:W75)</f>
        <v>46205.81</v>
      </c>
      <c r="P86" s="29">
        <f t="shared" si="29"/>
        <v>148693.83000000002</v>
      </c>
      <c r="Q86" s="30">
        <f t="shared" si="30"/>
        <v>4.0868107531686737E-2</v>
      </c>
      <c r="R86" s="30">
        <f t="shared" si="31"/>
        <v>5.9293129418817411E-2</v>
      </c>
      <c r="S86" s="31">
        <f t="shared" si="32"/>
        <v>0.59880010153798668</v>
      </c>
      <c r="T86" s="32">
        <f t="shared" si="33"/>
        <v>0.86876378821712164</v>
      </c>
      <c r="U86" s="1"/>
      <c r="V86" s="226">
        <v>1501</v>
      </c>
      <c r="W86" s="38">
        <v>79346.046000000002</v>
      </c>
      <c r="X86" s="38"/>
      <c r="Y86" s="227">
        <f t="shared" ref="Y86:Y115" si="38">SUM(W86:X86)/I86</f>
        <v>0.46358999228824754</v>
      </c>
      <c r="Z86" s="1"/>
    </row>
    <row r="87" spans="1:26" ht="15.75" customHeight="1" x14ac:dyDescent="0.25">
      <c r="A87" s="1"/>
      <c r="B87" s="21" t="s">
        <v>39</v>
      </c>
      <c r="C87" s="22">
        <f t="shared" si="36"/>
        <v>45747</v>
      </c>
      <c r="D87" s="22" t="s">
        <v>37</v>
      </c>
      <c r="E87" s="22" t="str">
        <f t="shared" si="37"/>
        <v>Source002</v>
      </c>
      <c r="F87" s="23">
        <f t="shared" si="21"/>
        <v>6.8249999642961592E-2</v>
      </c>
      <c r="G87" s="24">
        <v>162482.51999999999</v>
      </c>
      <c r="H87" s="24">
        <v>8124.1260000000002</v>
      </c>
      <c r="I87" s="24">
        <f t="shared" si="22"/>
        <v>170606.64599999998</v>
      </c>
      <c r="J87" s="25">
        <v>2499731.09</v>
      </c>
      <c r="K87" s="26">
        <v>946</v>
      </c>
      <c r="L87" s="27">
        <v>2350723.7599999998</v>
      </c>
      <c r="M87" s="28">
        <v>901</v>
      </c>
      <c r="N87" s="29">
        <f>Collections!T76+Collections!Y76</f>
        <v>84177.518654999993</v>
      </c>
      <c r="O87" s="29">
        <f>SUM(Collections!V76:W76)</f>
        <v>54422.689999999988</v>
      </c>
      <c r="P87" s="29">
        <f t="shared" si="29"/>
        <v>138600.20865499997</v>
      </c>
      <c r="Q87" s="30">
        <f t="shared" si="30"/>
        <v>3.3674629639862584E-2</v>
      </c>
      <c r="R87" s="30">
        <f t="shared" si="31"/>
        <v>5.5446047460649045E-2</v>
      </c>
      <c r="S87" s="31">
        <f t="shared" si="32"/>
        <v>0.49340116946557877</v>
      </c>
      <c r="T87" s="32">
        <f t="shared" si="33"/>
        <v>0.81239630403964436</v>
      </c>
      <c r="U87" s="1"/>
      <c r="V87" s="226" t="s">
        <v>39</v>
      </c>
      <c r="W87" s="38">
        <v>68888.904875000007</v>
      </c>
      <c r="X87" s="38">
        <v>18996.821250000001</v>
      </c>
      <c r="Y87" s="227">
        <f t="shared" si="38"/>
        <v>0.51513659160147851</v>
      </c>
      <c r="Z87" s="1"/>
    </row>
    <row r="88" spans="1:26" ht="15.75" customHeight="1" x14ac:dyDescent="0.25">
      <c r="A88" s="1"/>
      <c r="B88" s="21" t="s">
        <v>41</v>
      </c>
      <c r="C88" s="22">
        <f t="shared" si="36"/>
        <v>45747</v>
      </c>
      <c r="D88" s="22" t="s">
        <v>37</v>
      </c>
      <c r="E88" s="22" t="str">
        <f t="shared" si="37"/>
        <v>FE6004</v>
      </c>
      <c r="F88" s="23">
        <f t="shared" si="21"/>
        <v>6.8249999413080298E-2</v>
      </c>
      <c r="G88" s="24">
        <v>162799.1</v>
      </c>
      <c r="H88" s="24">
        <v>8139.9550000000008</v>
      </c>
      <c r="I88" s="24">
        <f t="shared" si="22"/>
        <v>170939.05499999999</v>
      </c>
      <c r="J88" s="25">
        <v>2504601.56</v>
      </c>
      <c r="K88" s="26">
        <v>884</v>
      </c>
      <c r="L88" s="27">
        <v>2381124.5300000003</v>
      </c>
      <c r="M88" s="28">
        <v>840</v>
      </c>
      <c r="N88" s="29">
        <f>Collections!T77+Collections!Y77</f>
        <v>129607.31906625</v>
      </c>
      <c r="O88" s="29">
        <f>SUM(Collections!V77:W77)</f>
        <v>50750.98</v>
      </c>
      <c r="P88" s="29">
        <f t="shared" si="29"/>
        <v>180358.29906625001</v>
      </c>
      <c r="Q88" s="30">
        <f t="shared" si="30"/>
        <v>5.1747679605473849E-2</v>
      </c>
      <c r="R88" s="30">
        <f t="shared" si="31"/>
        <v>7.2010774866023003E-2</v>
      </c>
      <c r="S88" s="31">
        <f t="shared" si="32"/>
        <v>0.75820776630741293</v>
      </c>
      <c r="T88" s="32">
        <f t="shared" si="33"/>
        <v>1.0551029375133145</v>
      </c>
      <c r="U88" s="1"/>
      <c r="V88" s="226" t="s">
        <v>41</v>
      </c>
      <c r="W88" s="38">
        <v>97229.754885000002</v>
      </c>
      <c r="X88" s="38">
        <v>12338.880150000003</v>
      </c>
      <c r="Y88" s="227">
        <f t="shared" si="38"/>
        <v>0.64098069943700109</v>
      </c>
      <c r="Z88" s="1"/>
    </row>
    <row r="89" spans="1:26" ht="15.75" customHeight="1" x14ac:dyDescent="0.25">
      <c r="A89" s="1"/>
      <c r="B89" s="21" t="s">
        <v>43</v>
      </c>
      <c r="C89" s="22">
        <f t="shared" si="36"/>
        <v>45776</v>
      </c>
      <c r="D89" s="22" t="s">
        <v>37</v>
      </c>
      <c r="E89" s="22" t="str">
        <f t="shared" si="37"/>
        <v>Source003</v>
      </c>
      <c r="F89" s="23">
        <f t="shared" si="21"/>
        <v>6.8249999496579228E-2</v>
      </c>
      <c r="G89" s="24">
        <v>162686.97</v>
      </c>
      <c r="H89" s="24">
        <v>8134.3485000000001</v>
      </c>
      <c r="I89" s="24">
        <f t="shared" si="22"/>
        <v>170821.31849999999</v>
      </c>
      <c r="J89" s="25">
        <v>2502876.48</v>
      </c>
      <c r="K89" s="26">
        <v>924</v>
      </c>
      <c r="L89" s="27">
        <v>2298541.08</v>
      </c>
      <c r="M89" s="28">
        <v>861</v>
      </c>
      <c r="N89" s="29">
        <f>Collections!T78+Collections!Y78</f>
        <v>78372.993900000001</v>
      </c>
      <c r="O89" s="29">
        <f>SUM(Collections!V78:W78)</f>
        <v>44044.429999999993</v>
      </c>
      <c r="P89" s="29">
        <f t="shared" si="29"/>
        <v>122417.42389999999</v>
      </c>
      <c r="Q89" s="30">
        <f t="shared" si="30"/>
        <v>3.1313168878393874E-2</v>
      </c>
      <c r="R89" s="30">
        <f t="shared" si="31"/>
        <v>4.891069330756586E-2</v>
      </c>
      <c r="S89" s="31">
        <f t="shared" si="32"/>
        <v>0.45880101259141143</v>
      </c>
      <c r="T89" s="32">
        <f t="shared" si="33"/>
        <v>0.71664020026868014</v>
      </c>
      <c r="U89" s="1"/>
      <c r="V89" s="226" t="s">
        <v>43</v>
      </c>
      <c r="W89" s="38">
        <v>62536.387399999992</v>
      </c>
      <c r="X89" s="38">
        <v>23498.571</v>
      </c>
      <c r="Y89" s="227">
        <f t="shared" si="38"/>
        <v>0.50365469108587868</v>
      </c>
      <c r="Z89" s="1"/>
    </row>
    <row r="90" spans="1:26" ht="15.75" customHeight="1" x14ac:dyDescent="0.25">
      <c r="A90" s="1"/>
      <c r="B90" s="21" t="s">
        <v>45</v>
      </c>
      <c r="C90" s="22">
        <f t="shared" si="36"/>
        <v>45776</v>
      </c>
      <c r="D90" s="22" t="s">
        <v>37</v>
      </c>
      <c r="E90" s="22" t="str">
        <f t="shared" si="37"/>
        <v>FE6005</v>
      </c>
      <c r="F90" s="23">
        <f t="shared" si="21"/>
        <v>6.8249999580696608E-2</v>
      </c>
      <c r="G90" s="24">
        <v>162769.97</v>
      </c>
      <c r="H90" s="24">
        <v>8138.4985000000006</v>
      </c>
      <c r="I90" s="24">
        <f t="shared" si="22"/>
        <v>170908.46849999999</v>
      </c>
      <c r="J90" s="25">
        <v>2504153.4</v>
      </c>
      <c r="K90" s="26">
        <v>846</v>
      </c>
      <c r="L90" s="27">
        <v>2333459.48</v>
      </c>
      <c r="M90" s="28">
        <v>796</v>
      </c>
      <c r="N90" s="29">
        <f>Collections!T79+Collections!Y79</f>
        <v>74126.82574</v>
      </c>
      <c r="O90" s="29">
        <f>SUM(Collections!V79:W79)</f>
        <v>43384.440000000024</v>
      </c>
      <c r="P90" s="29">
        <f t="shared" si="29"/>
        <v>117511.26574000003</v>
      </c>
      <c r="Q90" s="30">
        <f t="shared" si="30"/>
        <v>2.9601551462462326E-2</v>
      </c>
      <c r="R90" s="30">
        <f t="shared" si="31"/>
        <v>4.6926544412175406E-2</v>
      </c>
      <c r="S90" s="31">
        <f t="shared" si="32"/>
        <v>0.43372236841499756</v>
      </c>
      <c r="T90" s="32">
        <f t="shared" si="33"/>
        <v>0.68756842051978273</v>
      </c>
      <c r="U90" s="1"/>
      <c r="V90" s="226" t="s">
        <v>45</v>
      </c>
      <c r="W90" s="38">
        <v>56028.963470000002</v>
      </c>
      <c r="X90" s="38">
        <v>19629.800800000001</v>
      </c>
      <c r="Y90" s="227">
        <f t="shared" si="38"/>
        <v>0.44268587118022185</v>
      </c>
      <c r="Z90" s="1"/>
    </row>
    <row r="91" spans="1:26" ht="15.75" customHeight="1" x14ac:dyDescent="0.25">
      <c r="A91" s="1"/>
      <c r="B91" s="21" t="s">
        <v>47</v>
      </c>
      <c r="C91" s="22">
        <f t="shared" si="36"/>
        <v>45806</v>
      </c>
      <c r="D91" s="22" t="s">
        <v>37</v>
      </c>
      <c r="E91" s="22" t="str">
        <f t="shared" si="37"/>
        <v>FE6006</v>
      </c>
      <c r="F91" s="23">
        <f t="shared" si="21"/>
        <v>6.8249998803192394E-2</v>
      </c>
      <c r="G91" s="24">
        <v>162526.12</v>
      </c>
      <c r="H91" s="24">
        <v>8126.3060000000005</v>
      </c>
      <c r="I91" s="24">
        <f t="shared" si="22"/>
        <v>170652.42600000001</v>
      </c>
      <c r="J91" s="25">
        <v>2500401.89</v>
      </c>
      <c r="K91" s="26">
        <v>954</v>
      </c>
      <c r="L91" s="27">
        <v>2344853.7200000002</v>
      </c>
      <c r="M91" s="28">
        <v>909</v>
      </c>
      <c r="N91" s="29">
        <f>Collections!T80+Collections!Y80</f>
        <v>67255.466583750007</v>
      </c>
      <c r="O91" s="29">
        <f>SUM(Collections!V80:W80)</f>
        <v>55854.589999999982</v>
      </c>
      <c r="P91" s="29">
        <f t="shared" si="29"/>
        <v>123110.05658374999</v>
      </c>
      <c r="Q91" s="30">
        <f t="shared" si="30"/>
        <v>2.6897862640693333E-2</v>
      </c>
      <c r="R91" s="30">
        <f t="shared" si="31"/>
        <v>4.9236107633781216E-2</v>
      </c>
      <c r="S91" s="31">
        <f t="shared" si="32"/>
        <v>0.39410788443025124</v>
      </c>
      <c r="T91" s="32">
        <f t="shared" si="33"/>
        <v>0.72140818310868893</v>
      </c>
      <c r="U91" s="1"/>
      <c r="V91" s="226" t="s">
        <v>47</v>
      </c>
      <c r="W91" s="38">
        <v>47911.832095000005</v>
      </c>
      <c r="X91" s="38">
        <v>17888.039550000001</v>
      </c>
      <c r="Y91" s="227">
        <f t="shared" si="38"/>
        <v>0.38557829611516925</v>
      </c>
      <c r="Z91" s="1"/>
    </row>
    <row r="92" spans="1:26" ht="15.75" customHeight="1" x14ac:dyDescent="0.25">
      <c r="A92" s="1"/>
      <c r="B92" s="21" t="s">
        <v>49</v>
      </c>
      <c r="C92" s="22">
        <f t="shared" si="36"/>
        <v>45806</v>
      </c>
      <c r="D92" s="22" t="s">
        <v>37</v>
      </c>
      <c r="E92" s="22" t="str">
        <f t="shared" si="37"/>
        <v>FE6007</v>
      </c>
      <c r="F92" s="23">
        <f t="shared" si="21"/>
        <v>6.8249998804163256E-2</v>
      </c>
      <c r="G92" s="24">
        <v>162658.07</v>
      </c>
      <c r="H92" s="24">
        <v>8132.9035000000003</v>
      </c>
      <c r="I92" s="24">
        <f t="shared" si="22"/>
        <v>170790.97350000002</v>
      </c>
      <c r="J92" s="25">
        <v>2502431.89</v>
      </c>
      <c r="K92" s="26">
        <v>775</v>
      </c>
      <c r="L92" s="27">
        <v>2315845.6</v>
      </c>
      <c r="M92" s="28">
        <v>729</v>
      </c>
      <c r="N92" s="29">
        <f>Collections!T81+Collections!Y81</f>
        <v>73755.436598750006</v>
      </c>
      <c r="O92" s="29">
        <f>SUM(Collections!V81:W81)</f>
        <v>55387.89</v>
      </c>
      <c r="P92" s="29">
        <f t="shared" si="29"/>
        <v>129143.32659875001</v>
      </c>
      <c r="Q92" s="30">
        <f t="shared" si="30"/>
        <v>2.9473504111534481E-2</v>
      </c>
      <c r="R92" s="30">
        <f t="shared" si="31"/>
        <v>5.1607129494641309E-2</v>
      </c>
      <c r="S92" s="31">
        <f t="shared" si="32"/>
        <v>0.43184622165497522</v>
      </c>
      <c r="T92" s="32">
        <f t="shared" si="33"/>
        <v>0.75614843075269422</v>
      </c>
      <c r="U92" s="1"/>
      <c r="V92" s="226" t="s">
        <v>49</v>
      </c>
      <c r="W92" s="38">
        <v>53391.669014999999</v>
      </c>
      <c r="X92" s="38">
        <v>21457.423350000001</v>
      </c>
      <c r="Y92" s="227">
        <f t="shared" si="38"/>
        <v>0.43824969687288534</v>
      </c>
      <c r="Z92" s="1"/>
    </row>
    <row r="93" spans="1:26" ht="15.75" customHeight="1" x14ac:dyDescent="0.25">
      <c r="A93" s="1"/>
      <c r="B93" s="21" t="s">
        <v>51</v>
      </c>
      <c r="C93" s="22">
        <f t="shared" si="36"/>
        <v>45835</v>
      </c>
      <c r="D93" s="22" t="s">
        <v>37</v>
      </c>
      <c r="E93" s="22" t="str">
        <f t="shared" si="37"/>
        <v>FUND1-001</v>
      </c>
      <c r="F93" s="23">
        <f t="shared" si="21"/>
        <v>6.8249998553994468E-2</v>
      </c>
      <c r="G93" s="24">
        <v>162836.51</v>
      </c>
      <c r="H93" s="24">
        <v>8141.8255000000008</v>
      </c>
      <c r="I93" s="24">
        <f t="shared" si="22"/>
        <v>170978.33550000002</v>
      </c>
      <c r="J93" s="25">
        <v>2505177.13</v>
      </c>
      <c r="K93" s="26">
        <v>908</v>
      </c>
      <c r="L93" s="27">
        <v>2277086</v>
      </c>
      <c r="M93" s="28">
        <v>839</v>
      </c>
      <c r="N93" s="29">
        <f>Collections!T82+Collections!Y82</f>
        <v>65147.461955000006</v>
      </c>
      <c r="O93" s="29">
        <f>SUM(Collections!V82:W82)</f>
        <v>48173.919999999998</v>
      </c>
      <c r="P93" s="29">
        <f t="shared" si="29"/>
        <v>113321.381955</v>
      </c>
      <c r="Q93" s="30">
        <f t="shared" si="30"/>
        <v>2.6005132002382605E-2</v>
      </c>
      <c r="R93" s="30">
        <f t="shared" si="31"/>
        <v>4.5234878044332141E-2</v>
      </c>
      <c r="S93" s="31">
        <f t="shared" si="32"/>
        <v>0.38102758319927615</v>
      </c>
      <c r="T93" s="32">
        <f t="shared" si="33"/>
        <v>0.66278210992994491</v>
      </c>
      <c r="U93" s="1"/>
      <c r="V93" s="226" t="s">
        <v>51</v>
      </c>
      <c r="W93" s="38">
        <v>44946.920454999999</v>
      </c>
      <c r="X93" s="38">
        <v>26230.479950000001</v>
      </c>
      <c r="Y93" s="227">
        <f t="shared" si="38"/>
        <v>0.41629484926761373</v>
      </c>
      <c r="Z93" s="1"/>
    </row>
    <row r="94" spans="1:26" ht="15.75" customHeight="1" x14ac:dyDescent="0.25">
      <c r="A94" s="1"/>
      <c r="B94" s="21" t="s">
        <v>53</v>
      </c>
      <c r="C94" s="22">
        <f t="shared" si="36"/>
        <v>45835</v>
      </c>
      <c r="D94" s="22" t="s">
        <v>37</v>
      </c>
      <c r="E94" s="22" t="str">
        <f t="shared" si="37"/>
        <v>FUND1-002</v>
      </c>
      <c r="F94" s="23">
        <f t="shared" si="21"/>
        <v>6.8249999350015494E-2</v>
      </c>
      <c r="G94" s="24">
        <v>162753.88</v>
      </c>
      <c r="H94" s="24">
        <v>8137.6940000000004</v>
      </c>
      <c r="I94" s="24">
        <f t="shared" si="22"/>
        <v>170891.57399999999</v>
      </c>
      <c r="J94" s="25">
        <v>2503905.87</v>
      </c>
      <c r="K94" s="26">
        <v>840</v>
      </c>
      <c r="L94" s="27">
        <v>2307227.3600000003</v>
      </c>
      <c r="M94" s="28">
        <v>786</v>
      </c>
      <c r="N94" s="29">
        <f>Collections!T83+Collections!Y83</f>
        <v>51281.375784999997</v>
      </c>
      <c r="O94" s="29">
        <f>SUM(Collections!V83:W83)</f>
        <v>41773.240000000042</v>
      </c>
      <c r="P94" s="29">
        <f t="shared" si="29"/>
        <v>93054.615785000031</v>
      </c>
      <c r="Q94" s="30">
        <f t="shared" si="30"/>
        <v>2.0480552563663264E-2</v>
      </c>
      <c r="R94" s="30">
        <f t="shared" si="31"/>
        <v>3.7163783551096521E-2</v>
      </c>
      <c r="S94" s="31">
        <f t="shared" si="32"/>
        <v>0.30008135910199996</v>
      </c>
      <c r="T94" s="32">
        <f t="shared" si="33"/>
        <v>0.54452430630078952</v>
      </c>
      <c r="U94" s="1"/>
      <c r="V94" s="226" t="s">
        <v>53</v>
      </c>
      <c r="W94" s="38">
        <v>34712.731035000004</v>
      </c>
      <c r="X94" s="38">
        <v>22618.028650000004</v>
      </c>
      <c r="Y94" s="227">
        <f t="shared" si="38"/>
        <v>0.33548031856152261</v>
      </c>
      <c r="Z94" s="1"/>
    </row>
    <row r="95" spans="1:26" ht="15.75" customHeight="1" x14ac:dyDescent="0.25">
      <c r="A95" s="1"/>
      <c r="B95" s="39" t="s">
        <v>55</v>
      </c>
      <c r="C95" s="40">
        <f t="shared" si="36"/>
        <v>45866</v>
      </c>
      <c r="D95" s="40" t="s">
        <v>37</v>
      </c>
      <c r="E95" s="40" t="str">
        <f t="shared" si="37"/>
        <v>Source004</v>
      </c>
      <c r="F95" s="41">
        <f t="shared" si="21"/>
        <v>6.8249998717497776E-2</v>
      </c>
      <c r="G95" s="42">
        <v>236812.45</v>
      </c>
      <c r="H95" s="42">
        <v>11840.622500000001</v>
      </c>
      <c r="I95" s="42">
        <f t="shared" si="22"/>
        <v>248653.07250000001</v>
      </c>
      <c r="J95" s="43">
        <v>3643268.53</v>
      </c>
      <c r="K95" s="44">
        <v>1212</v>
      </c>
      <c r="L95" s="45">
        <v>3264341.6399999997</v>
      </c>
      <c r="M95" s="46">
        <v>1111</v>
      </c>
      <c r="N95" s="29">
        <f>Collections!T84+Collections!Y84</f>
        <v>110364.49311500002</v>
      </c>
      <c r="O95" s="29">
        <f>SUM(Collections!V84:W84)</f>
        <v>96042.580000000031</v>
      </c>
      <c r="P95" s="47">
        <f t="shared" si="29"/>
        <v>206407.07311500004</v>
      </c>
      <c r="Q95" s="48">
        <f t="shared" si="30"/>
        <v>3.0292714414602875E-2</v>
      </c>
      <c r="R95" s="48">
        <f t="shared" si="31"/>
        <v>5.6654367202244094E-2</v>
      </c>
      <c r="S95" s="49">
        <f t="shared" si="32"/>
        <v>0.44384930379253612</v>
      </c>
      <c r="T95" s="50">
        <f t="shared" si="33"/>
        <v>0.83010063394652012</v>
      </c>
      <c r="U95" s="1"/>
      <c r="V95" s="226" t="s">
        <v>55</v>
      </c>
      <c r="W95" s="38">
        <v>75394.462865000009</v>
      </c>
      <c r="X95" s="38">
        <v>43576.592350000006</v>
      </c>
      <c r="Y95" s="227">
        <f t="shared" si="38"/>
        <v>0.47846203555357236</v>
      </c>
      <c r="Z95" s="1"/>
    </row>
    <row r="96" spans="1:26" ht="15.75" customHeight="1" x14ac:dyDescent="0.25">
      <c r="A96" s="1"/>
      <c r="B96" s="39" t="s">
        <v>57</v>
      </c>
      <c r="C96" s="40">
        <f t="shared" si="36"/>
        <v>45866</v>
      </c>
      <c r="D96" s="40" t="s">
        <v>37</v>
      </c>
      <c r="E96" s="40" t="str">
        <f t="shared" si="37"/>
        <v>FE6009</v>
      </c>
      <c r="F96" s="41">
        <f t="shared" si="21"/>
        <v>6.8250000488108989E-2</v>
      </c>
      <c r="G96" s="42">
        <v>195755.46</v>
      </c>
      <c r="H96" s="42">
        <v>9787.7729999999992</v>
      </c>
      <c r="I96" s="42">
        <f t="shared" si="22"/>
        <v>205543.23299999998</v>
      </c>
      <c r="J96" s="43">
        <v>3011622.44</v>
      </c>
      <c r="K96" s="44">
        <v>987</v>
      </c>
      <c r="L96" s="45">
        <v>2725757.01</v>
      </c>
      <c r="M96" s="46">
        <v>909</v>
      </c>
      <c r="N96" s="29">
        <f>Collections!T85+Collections!Y85</f>
        <v>79880.105116250023</v>
      </c>
      <c r="O96" s="29">
        <f>SUM(Collections!V85:W85)</f>
        <v>79172.439999999973</v>
      </c>
      <c r="P96" s="47">
        <f t="shared" si="29"/>
        <v>159052.54511625</v>
      </c>
      <c r="Q96" s="48">
        <f t="shared" si="30"/>
        <v>2.6523944055965403E-2</v>
      </c>
      <c r="R96" s="48">
        <f t="shared" si="31"/>
        <v>5.2812910079209664E-2</v>
      </c>
      <c r="S96" s="49">
        <f t="shared" si="32"/>
        <v>0.38862921415783136</v>
      </c>
      <c r="T96" s="50">
        <f t="shared" si="33"/>
        <v>0.77381552676195386</v>
      </c>
      <c r="U96" s="1"/>
      <c r="V96" s="226" t="s">
        <v>57</v>
      </c>
      <c r="W96" s="38">
        <v>55831.498005000001</v>
      </c>
      <c r="X96" s="38">
        <v>32874.524449999997</v>
      </c>
      <c r="Y96" s="227">
        <f t="shared" si="38"/>
        <v>0.43156868343605359</v>
      </c>
      <c r="Z96" s="1"/>
    </row>
    <row r="97" spans="1:26" ht="15.75" customHeight="1" x14ac:dyDescent="0.25">
      <c r="A97" s="1"/>
      <c r="B97" s="39" t="s">
        <v>59</v>
      </c>
      <c r="C97" s="40">
        <f t="shared" si="36"/>
        <v>45896</v>
      </c>
      <c r="D97" s="40" t="s">
        <v>37</v>
      </c>
      <c r="E97" s="40" t="str">
        <f t="shared" si="37"/>
        <v>ITALY001</v>
      </c>
      <c r="F97" s="41">
        <f t="shared" si="21"/>
        <v>6.8249998206602491E-2</v>
      </c>
      <c r="G97" s="42">
        <v>131294.09</v>
      </c>
      <c r="H97" s="42">
        <v>6564.7044999999998</v>
      </c>
      <c r="I97" s="42">
        <f t="shared" si="22"/>
        <v>137858.79449999999</v>
      </c>
      <c r="J97" s="43">
        <v>2019909.13</v>
      </c>
      <c r="K97" s="44">
        <v>671</v>
      </c>
      <c r="L97" s="45">
        <v>1749084.5399999998</v>
      </c>
      <c r="M97" s="46">
        <v>597</v>
      </c>
      <c r="N97" s="29">
        <f>Collections!T86+Collections!Y86</f>
        <v>60090.285065000018</v>
      </c>
      <c r="O97" s="29">
        <f>SUM(Collections!V86:W86)</f>
        <v>45301.239999999976</v>
      </c>
      <c r="P97" s="47">
        <f t="shared" si="29"/>
        <v>105391.52506499999</v>
      </c>
      <c r="Q97" s="48">
        <f t="shared" si="30"/>
        <v>2.9749004137131666E-2</v>
      </c>
      <c r="R97" s="48">
        <f t="shared" si="31"/>
        <v>5.2176369471135568E-2</v>
      </c>
      <c r="S97" s="49">
        <f t="shared" si="32"/>
        <v>0.43588285595374204</v>
      </c>
      <c r="T97" s="50">
        <f t="shared" si="33"/>
        <v>0.76448895006839768</v>
      </c>
      <c r="U97" s="1"/>
      <c r="V97" s="226" t="s">
        <v>59</v>
      </c>
      <c r="W97" s="38">
        <v>42843.125065</v>
      </c>
      <c r="X97" s="38">
        <v>31144.827850000005</v>
      </c>
      <c r="Y97" s="227">
        <f t="shared" si="38"/>
        <v>0.53669374654948121</v>
      </c>
      <c r="Z97" s="1"/>
    </row>
    <row r="98" spans="1:26" ht="15.75" customHeight="1" x14ac:dyDescent="0.25">
      <c r="A98" s="1"/>
      <c r="B98" s="39" t="s">
        <v>61</v>
      </c>
      <c r="C98" s="40">
        <f t="shared" si="36"/>
        <v>45896</v>
      </c>
      <c r="D98" s="40" t="s">
        <v>37</v>
      </c>
      <c r="E98" s="40" t="str">
        <f t="shared" si="37"/>
        <v>ITALY002</v>
      </c>
      <c r="F98" s="41">
        <f t="shared" si="21"/>
        <v>6.8249999672591807E-2</v>
      </c>
      <c r="G98" s="42">
        <v>218878.15</v>
      </c>
      <c r="H98" s="42">
        <v>10943.907500000001</v>
      </c>
      <c r="I98" s="42">
        <f t="shared" si="22"/>
        <v>229822.0575</v>
      </c>
      <c r="J98" s="43">
        <v>3367356.17</v>
      </c>
      <c r="K98" s="44">
        <v>1136</v>
      </c>
      <c r="L98" s="45">
        <v>3004398.28</v>
      </c>
      <c r="M98" s="46">
        <v>1033</v>
      </c>
      <c r="N98" s="29">
        <f>Collections!T87+Collections!Y87</f>
        <v>92571.441614999989</v>
      </c>
      <c r="O98" s="29">
        <f>SUM(Collections!V87:W87)</f>
        <v>88075.310000000012</v>
      </c>
      <c r="P98" s="47">
        <f t="shared" si="29"/>
        <v>180646.75161500002</v>
      </c>
      <c r="Q98" s="48">
        <f t="shared" si="30"/>
        <v>2.7490837601238955E-2</v>
      </c>
      <c r="R98" s="48">
        <f t="shared" si="31"/>
        <v>5.3646464019575339E-2</v>
      </c>
      <c r="S98" s="49">
        <f t="shared" si="32"/>
        <v>0.40279615726179802</v>
      </c>
      <c r="T98" s="50">
        <f t="shared" si="33"/>
        <v>0.7860287806143238</v>
      </c>
      <c r="U98" s="1"/>
      <c r="V98" s="226" t="s">
        <v>61</v>
      </c>
      <c r="W98" s="38">
        <v>61324.681615000009</v>
      </c>
      <c r="X98" s="38">
        <v>41740.157350000001</v>
      </c>
      <c r="Y98" s="227">
        <f t="shared" si="38"/>
        <v>0.44845494852033513</v>
      </c>
      <c r="Z98" s="1"/>
    </row>
    <row r="99" spans="1:26" ht="15.75" customHeight="1" x14ac:dyDescent="0.25">
      <c r="A99" s="1"/>
      <c r="B99" s="39" t="s">
        <v>63</v>
      </c>
      <c r="C99" s="40">
        <f t="shared" si="36"/>
        <v>45930</v>
      </c>
      <c r="D99" s="40" t="s">
        <v>37</v>
      </c>
      <c r="E99" s="40" t="str">
        <f t="shared" si="37"/>
        <v>ITALY003</v>
      </c>
      <c r="F99" s="41">
        <f t="shared" si="21"/>
        <v>6.8250000674670949E-2</v>
      </c>
      <c r="G99" s="42">
        <v>273133.15000000002</v>
      </c>
      <c r="H99" s="42">
        <v>13656.657500000001</v>
      </c>
      <c r="I99" s="42">
        <f t="shared" si="22"/>
        <v>286789.8075</v>
      </c>
      <c r="J99" s="43">
        <v>4202048.42</v>
      </c>
      <c r="K99" s="44">
        <v>1435</v>
      </c>
      <c r="L99" s="45">
        <v>3661982.46</v>
      </c>
      <c r="M99" s="46">
        <v>1267</v>
      </c>
      <c r="N99" s="29">
        <f>Collections!T88+Collections!Y88</f>
        <v>89268.616860000009</v>
      </c>
      <c r="O99" s="47">
        <f>SUM(Collections!V88:W88)</f>
        <v>50966.549999999988</v>
      </c>
      <c r="P99" s="47">
        <f t="shared" si="29"/>
        <v>140235.16686</v>
      </c>
      <c r="Q99" s="48">
        <f t="shared" si="30"/>
        <v>2.1244071447420403E-2</v>
      </c>
      <c r="R99" s="48">
        <f t="shared" si="31"/>
        <v>3.337304877129426E-2</v>
      </c>
      <c r="S99" s="49">
        <f t="shared" si="32"/>
        <v>0.31126844303907142</v>
      </c>
      <c r="T99" s="50">
        <f t="shared" si="33"/>
        <v>0.48898239474567101</v>
      </c>
      <c r="U99" s="1"/>
      <c r="V99" s="226" t="s">
        <v>63</v>
      </c>
      <c r="W99" s="38">
        <v>63617.951060000007</v>
      </c>
      <c r="X99" s="38">
        <v>62399.823400000008</v>
      </c>
      <c r="Y99" s="227">
        <f t="shared" si="38"/>
        <v>0.43940813503283244</v>
      </c>
      <c r="Z99" s="1"/>
    </row>
    <row r="100" spans="1:26" ht="15.75" customHeight="1" x14ac:dyDescent="0.25">
      <c r="A100" s="1"/>
      <c r="B100" s="148" t="s">
        <v>65</v>
      </c>
      <c r="C100" s="156">
        <f t="shared" si="36"/>
        <v>45930</v>
      </c>
      <c r="D100" s="156" t="s">
        <v>37</v>
      </c>
      <c r="E100" s="156" t="str">
        <f t="shared" si="37"/>
        <v>OPEN</v>
      </c>
      <c r="F100" s="167">
        <f t="shared" si="21"/>
        <v>6.8249998532312103E-2</v>
      </c>
      <c r="G100" s="168">
        <v>230183.47</v>
      </c>
      <c r="H100" s="168">
        <v>11509.173500000001</v>
      </c>
      <c r="I100" s="168">
        <f t="shared" si="22"/>
        <v>241692.64350000001</v>
      </c>
      <c r="J100" s="43">
        <v>3541284.23</v>
      </c>
      <c r="K100" s="44">
        <v>1220</v>
      </c>
      <c r="L100" s="45">
        <v>3087249.67</v>
      </c>
      <c r="M100" s="46">
        <v>1088</v>
      </c>
      <c r="N100" s="29">
        <f>Collections!T89+Collections!Y89</f>
        <v>73683.946960000016</v>
      </c>
      <c r="O100" s="47">
        <f>SUM(Collections!V89:W89)</f>
        <v>45749.01</v>
      </c>
      <c r="P100" s="47">
        <f t="shared" si="29"/>
        <v>119432.95696000001</v>
      </c>
      <c r="Q100" s="48">
        <f t="shared" si="30"/>
        <v>2.0807125939168124E-2</v>
      </c>
      <c r="R100" s="48">
        <f t="shared" si="31"/>
        <v>3.3725888463914687E-2</v>
      </c>
      <c r="S100" s="49">
        <f t="shared" si="32"/>
        <v>0.30486632068302905</v>
      </c>
      <c r="T100" s="50">
        <f t="shared" si="33"/>
        <v>0.49415222255202818</v>
      </c>
      <c r="U100" s="1"/>
      <c r="V100" s="226" t="s">
        <v>65</v>
      </c>
      <c r="W100" s="38">
        <v>51354.556960000002</v>
      </c>
      <c r="X100" s="38">
        <v>52213.974399999999</v>
      </c>
      <c r="Y100" s="227">
        <f t="shared" si="38"/>
        <v>0.42851337905946646</v>
      </c>
      <c r="Z100" s="1"/>
    </row>
    <row r="101" spans="1:26" ht="15.75" customHeight="1" x14ac:dyDescent="0.25">
      <c r="A101" s="1"/>
      <c r="B101" s="39" t="s">
        <v>66</v>
      </c>
      <c r="C101" s="22">
        <f t="shared" si="36"/>
        <v>45959</v>
      </c>
      <c r="D101" s="40" t="s">
        <v>37</v>
      </c>
      <c r="E101" s="40" t="str">
        <f t="shared" si="37"/>
        <v>NEXA012</v>
      </c>
      <c r="F101" s="41">
        <f t="shared" si="21"/>
        <v>6.8249999679303397E-2</v>
      </c>
      <c r="G101" s="42">
        <v>297945.15000000002</v>
      </c>
      <c r="H101" s="42">
        <v>14897.257500000002</v>
      </c>
      <c r="I101" s="42">
        <f t="shared" si="22"/>
        <v>312842.40750000003</v>
      </c>
      <c r="J101" s="43">
        <v>4583771.5599999996</v>
      </c>
      <c r="K101" s="44">
        <v>1567</v>
      </c>
      <c r="L101" s="45">
        <v>4583771.5599999996</v>
      </c>
      <c r="M101" s="46">
        <v>1567</v>
      </c>
      <c r="N101" s="29">
        <f>Collections!T90+Collections!Y90</f>
        <v>39858.379999999997</v>
      </c>
      <c r="O101" s="47">
        <f>SUM(Collections!V90:W90)</f>
        <v>168426.03</v>
      </c>
      <c r="P101" s="47">
        <f t="shared" si="29"/>
        <v>208284.41</v>
      </c>
      <c r="Q101" s="48">
        <f t="shared" si="30"/>
        <v>8.6955424104948192E-3</v>
      </c>
      <c r="R101" s="48">
        <f t="shared" si="31"/>
        <v>4.543952665913395E-2</v>
      </c>
      <c r="S101" s="49">
        <f t="shared" si="32"/>
        <v>0.12740721540445246</v>
      </c>
      <c r="T101" s="50">
        <f t="shared" si="33"/>
        <v>0.66578061351864515</v>
      </c>
      <c r="U101" s="1"/>
      <c r="V101" s="226" t="s">
        <v>66</v>
      </c>
      <c r="W101" s="38">
        <v>0</v>
      </c>
      <c r="X101" s="38"/>
      <c r="Y101" s="227">
        <f t="shared" si="38"/>
        <v>0</v>
      </c>
      <c r="Z101" s="1"/>
    </row>
    <row r="102" spans="1:26" ht="15.75" customHeight="1" x14ac:dyDescent="0.25">
      <c r="A102" s="1"/>
      <c r="B102" s="39" t="s">
        <v>67</v>
      </c>
      <c r="C102" s="22">
        <f t="shared" si="36"/>
        <v>45959</v>
      </c>
      <c r="D102" s="40" t="s">
        <v>37</v>
      </c>
      <c r="E102" s="40" t="str">
        <f t="shared" si="37"/>
        <v>NEXA013</v>
      </c>
      <c r="F102" s="41">
        <f t="shared" si="21"/>
        <v>6.8249999168675413E-2</v>
      </c>
      <c r="G102" s="42">
        <v>242188.79</v>
      </c>
      <c r="H102" s="42">
        <v>12109.4395</v>
      </c>
      <c r="I102" s="42">
        <f t="shared" si="22"/>
        <v>254298.22950000002</v>
      </c>
      <c r="J102" s="43">
        <v>3725981.43</v>
      </c>
      <c r="K102" s="44">
        <v>1280</v>
      </c>
      <c r="L102" s="45">
        <v>3725981.43</v>
      </c>
      <c r="M102" s="46">
        <v>1280</v>
      </c>
      <c r="N102" s="29">
        <f>Collections!T91+Collections!Y91</f>
        <v>21823.360000000001</v>
      </c>
      <c r="O102" s="47">
        <f>SUM(Collections!V91:W91)</f>
        <v>72449.069999999978</v>
      </c>
      <c r="P102" s="47">
        <f t="shared" si="29"/>
        <v>94272.429999999978</v>
      </c>
      <c r="Q102" s="48">
        <f t="shared" si="30"/>
        <v>5.8570769634780492E-3</v>
      </c>
      <c r="R102" s="48">
        <f t="shared" si="31"/>
        <v>2.5301368718845165E-2</v>
      </c>
      <c r="S102" s="49">
        <f t="shared" si="32"/>
        <v>8.581797853217063E-2</v>
      </c>
      <c r="T102" s="50">
        <f t="shared" si="33"/>
        <v>0.37071602970008083</v>
      </c>
      <c r="U102" s="1"/>
      <c r="V102" s="226" t="s">
        <v>67</v>
      </c>
      <c r="W102" s="38">
        <v>0</v>
      </c>
      <c r="X102" s="38"/>
      <c r="Y102" s="227">
        <f t="shared" si="38"/>
        <v>0</v>
      </c>
      <c r="Z102" s="1"/>
    </row>
    <row r="103" spans="1:26" ht="15.75" customHeight="1" x14ac:dyDescent="0.25">
      <c r="A103" s="1"/>
      <c r="B103" s="148" t="s">
        <v>103</v>
      </c>
      <c r="C103" s="157">
        <f t="shared" si="36"/>
        <v>45986</v>
      </c>
      <c r="D103" s="157" t="s">
        <v>37</v>
      </c>
      <c r="E103" s="157" t="str">
        <f t="shared" si="37"/>
        <v>OPEN</v>
      </c>
      <c r="F103" s="169">
        <f t="shared" si="21"/>
        <v>6.8249997524658351E-2</v>
      </c>
      <c r="G103" s="170">
        <v>117180.79</v>
      </c>
      <c r="H103" s="170">
        <f t="shared" ref="H103:H105" si="39">G103*5%</f>
        <v>5859.0394999999999</v>
      </c>
      <c r="I103" s="170">
        <f t="shared" si="22"/>
        <v>123039.82949999999</v>
      </c>
      <c r="J103" s="43">
        <v>1802781.45</v>
      </c>
      <c r="K103" s="44">
        <v>624</v>
      </c>
      <c r="L103" s="45">
        <v>1802781.45</v>
      </c>
      <c r="M103" s="46">
        <v>624</v>
      </c>
      <c r="N103" s="29">
        <f>Collections!T92+Collections!Y92</f>
        <v>16151.060000000001</v>
      </c>
      <c r="O103" s="47">
        <f>SUM(Collections!V92:W92)</f>
        <v>38057.1</v>
      </c>
      <c r="P103" s="47">
        <f t="shared" si="29"/>
        <v>54208.160000000003</v>
      </c>
      <c r="Q103" s="48">
        <f t="shared" si="30"/>
        <v>8.9589672669418696E-3</v>
      </c>
      <c r="R103" s="48">
        <f t="shared" si="31"/>
        <v>3.0069180043981486E-2</v>
      </c>
      <c r="S103" s="49">
        <f t="shared" si="32"/>
        <v>0.13126692442303817</v>
      </c>
      <c r="T103" s="50">
        <f t="shared" si="33"/>
        <v>0.44057408255755104</v>
      </c>
      <c r="U103" s="1"/>
      <c r="V103" s="226" t="s">
        <v>103</v>
      </c>
      <c r="W103" s="38"/>
      <c r="X103" s="38"/>
      <c r="Y103" s="227">
        <f t="shared" si="38"/>
        <v>0</v>
      </c>
      <c r="Z103" s="1"/>
    </row>
    <row r="104" spans="1:26" ht="15.75" customHeight="1" x14ac:dyDescent="0.25">
      <c r="A104" s="1"/>
      <c r="B104" s="148" t="s">
        <v>104</v>
      </c>
      <c r="C104" s="157">
        <f t="shared" si="36"/>
        <v>45986</v>
      </c>
      <c r="D104" s="157" t="s">
        <v>37</v>
      </c>
      <c r="E104" s="157" t="str">
        <f t="shared" si="37"/>
        <v>OPEN</v>
      </c>
      <c r="F104" s="169">
        <f t="shared" si="21"/>
        <v>6.8250000697724827E-2</v>
      </c>
      <c r="G104" s="170">
        <v>117381.52</v>
      </c>
      <c r="H104" s="170">
        <f t="shared" si="39"/>
        <v>5869.0760000000009</v>
      </c>
      <c r="I104" s="170">
        <f t="shared" si="22"/>
        <v>123250.59600000001</v>
      </c>
      <c r="J104" s="43">
        <v>1805869.52</v>
      </c>
      <c r="K104" s="44">
        <v>607</v>
      </c>
      <c r="L104" s="45">
        <v>1805869.52</v>
      </c>
      <c r="M104" s="46">
        <v>607</v>
      </c>
      <c r="N104" s="29">
        <f>Collections!T93+Collections!Y93</f>
        <v>5530.2599999999993</v>
      </c>
      <c r="O104" s="47">
        <f>SUM(Collections!V93:W93)</f>
        <v>40064.989999999969</v>
      </c>
      <c r="P104" s="47">
        <f t="shared" si="29"/>
        <v>45595.249999999971</v>
      </c>
      <c r="Q104" s="48">
        <f t="shared" si="30"/>
        <v>3.0623807195106763E-3</v>
      </c>
      <c r="R104" s="48">
        <f t="shared" si="31"/>
        <v>2.5248363458728718E-2</v>
      </c>
      <c r="S104" s="49">
        <f t="shared" si="32"/>
        <v>4.4870046713607774E-2</v>
      </c>
      <c r="T104" s="50">
        <f t="shared" si="33"/>
        <v>0.36993938755476663</v>
      </c>
      <c r="U104" s="1"/>
      <c r="V104" s="226" t="s">
        <v>104</v>
      </c>
      <c r="W104" s="38"/>
      <c r="X104" s="38"/>
      <c r="Y104" s="227">
        <f t="shared" si="38"/>
        <v>0</v>
      </c>
      <c r="Z104" s="1"/>
    </row>
    <row r="105" spans="1:26" ht="15.75" customHeight="1" x14ac:dyDescent="0.25">
      <c r="A105" s="1"/>
      <c r="B105" s="148" t="s">
        <v>119</v>
      </c>
      <c r="C105" s="157">
        <f t="shared" si="36"/>
        <v>46022</v>
      </c>
      <c r="D105" s="157" t="s">
        <v>37</v>
      </c>
      <c r="E105" s="157" t="str">
        <f t="shared" si="37"/>
        <v>OPEN</v>
      </c>
      <c r="F105" s="169">
        <f>I105/J105</f>
        <v>6.8250001227405585E-2</v>
      </c>
      <c r="G105" s="170">
        <v>269684.7</v>
      </c>
      <c r="H105" s="170">
        <f t="shared" si="39"/>
        <v>13484.235000000001</v>
      </c>
      <c r="I105" s="170">
        <f t="shared" si="22"/>
        <v>283168.935</v>
      </c>
      <c r="J105" s="43">
        <v>4148995.31</v>
      </c>
      <c r="K105" s="44">
        <v>1344</v>
      </c>
      <c r="L105" s="45">
        <v>4148995.31</v>
      </c>
      <c r="M105" s="46">
        <v>1344</v>
      </c>
      <c r="N105" s="29">
        <f>Collections!T94+Collections!Y94</f>
        <v>2176.44</v>
      </c>
      <c r="O105" s="47">
        <f>SUM(Collections!V94:W94)</f>
        <v>33428.869999999995</v>
      </c>
      <c r="P105" s="47">
        <f t="shared" ref="P105:P107" si="40">N105+O105</f>
        <v>35605.31</v>
      </c>
      <c r="Q105" s="48">
        <f t="shared" ref="Q105:Q107" si="41">N105/J105</f>
        <v>5.2457036882020476E-4</v>
      </c>
      <c r="R105" s="48">
        <f t="shared" ref="R105:R107" si="42">P105/J105</f>
        <v>8.581670341777271E-3</v>
      </c>
      <c r="S105" s="49">
        <f t="shared" ref="S105:S107" si="43">N105/I105</f>
        <v>7.6860125917413927E-3</v>
      </c>
      <c r="T105" s="50">
        <f t="shared" ref="T105:T107" si="44">P105/I105</f>
        <v>0.12573875732519882</v>
      </c>
      <c r="U105" s="1"/>
      <c r="V105" s="226" t="s">
        <v>119</v>
      </c>
      <c r="W105" s="38"/>
      <c r="X105" s="38"/>
      <c r="Y105" s="227">
        <f t="shared" si="38"/>
        <v>0</v>
      </c>
      <c r="Z105" s="1"/>
    </row>
    <row r="106" spans="1:26" ht="15.75" customHeight="1" x14ac:dyDescent="0.25">
      <c r="A106" s="1"/>
      <c r="B106" s="148" t="s">
        <v>118</v>
      </c>
      <c r="C106" s="157">
        <f t="shared" si="36"/>
        <v>46022</v>
      </c>
      <c r="D106" s="157" t="s">
        <v>37</v>
      </c>
      <c r="E106" s="157" t="str">
        <f t="shared" si="37"/>
        <v>OPEN</v>
      </c>
      <c r="F106" s="169">
        <f>I106/J106</f>
        <v>6.8249999842079925E-2</v>
      </c>
      <c r="G106" s="170">
        <v>345744.51</v>
      </c>
      <c r="H106" s="170">
        <f t="shared" ref="H106" si="45">G106*5%</f>
        <v>17287.2255</v>
      </c>
      <c r="I106" s="170">
        <f t="shared" ref="I106" si="46">G106+H106</f>
        <v>363031.73550000001</v>
      </c>
      <c r="J106" s="43">
        <v>5319146.32</v>
      </c>
      <c r="K106" s="44">
        <v>1709</v>
      </c>
      <c r="L106" s="45">
        <v>5319146.32</v>
      </c>
      <c r="M106" s="46">
        <v>1709</v>
      </c>
      <c r="N106" s="29">
        <f>Collections!T95+Collections!Y95</f>
        <v>9485.44</v>
      </c>
      <c r="O106" s="47">
        <f>SUM(Collections!V95:W95)</f>
        <v>63879.860000000008</v>
      </c>
      <c r="P106" s="47">
        <f t="shared" si="40"/>
        <v>73365.3</v>
      </c>
      <c r="Q106" s="48">
        <f t="shared" si="41"/>
        <v>1.7832635970803676E-3</v>
      </c>
      <c r="R106" s="48">
        <f t="shared" si="42"/>
        <v>1.3792683183793297E-2</v>
      </c>
      <c r="S106" s="49">
        <f t="shared" si="43"/>
        <v>2.6128404413283037E-2</v>
      </c>
      <c r="T106" s="50">
        <f t="shared" si="44"/>
        <v>0.20209059656714226</v>
      </c>
      <c r="U106" s="1"/>
      <c r="V106" s="226" t="s">
        <v>118</v>
      </c>
      <c r="W106" s="38"/>
      <c r="X106" s="38"/>
      <c r="Y106" s="227">
        <f t="shared" si="38"/>
        <v>0</v>
      </c>
      <c r="Z106" s="1"/>
    </row>
    <row r="107" spans="1:26" ht="15.75" customHeight="1" x14ac:dyDescent="0.25">
      <c r="A107" s="1"/>
      <c r="B107" s="148">
        <v>1512</v>
      </c>
      <c r="C107" s="157">
        <v>46052</v>
      </c>
      <c r="D107" s="157" t="s">
        <v>128</v>
      </c>
      <c r="E107" s="157" t="s">
        <v>120</v>
      </c>
      <c r="F107" s="169">
        <v>6.8270594164152917E-2</v>
      </c>
      <c r="G107" s="170">
        <v>32991.5</v>
      </c>
      <c r="H107" s="170">
        <v>1649.575</v>
      </c>
      <c r="I107" s="170">
        <v>34641.074999999997</v>
      </c>
      <c r="J107" s="43">
        <v>507408.43</v>
      </c>
      <c r="K107" s="44">
        <v>157</v>
      </c>
      <c r="L107" s="45">
        <v>507408.43</v>
      </c>
      <c r="M107" s="46">
        <v>157</v>
      </c>
      <c r="N107" s="29">
        <f>Collections!T96+Collections!Y96</f>
        <v>191.77</v>
      </c>
      <c r="O107" s="47">
        <f>SUM(Collections!V96:W96)</f>
        <v>1122.77</v>
      </c>
      <c r="P107" s="47">
        <f t="shared" si="40"/>
        <v>1314.54</v>
      </c>
      <c r="Q107" s="48">
        <f t="shared" si="41"/>
        <v>3.779401142389377E-4</v>
      </c>
      <c r="R107" s="48">
        <f t="shared" si="42"/>
        <v>2.5906940489735259E-3</v>
      </c>
      <c r="S107" s="49">
        <f t="shared" si="43"/>
        <v>5.5359136516404308E-3</v>
      </c>
      <c r="T107" s="50">
        <f t="shared" si="44"/>
        <v>3.7947436677412585E-2</v>
      </c>
      <c r="U107" s="1"/>
      <c r="V107" s="226">
        <v>1512</v>
      </c>
      <c r="W107" s="38"/>
      <c r="X107" s="38"/>
      <c r="Y107" s="227">
        <f t="shared" si="38"/>
        <v>0</v>
      </c>
      <c r="Z107" s="1"/>
    </row>
    <row r="108" spans="1:26" ht="15.75" customHeight="1" x14ac:dyDescent="0.25">
      <c r="A108" s="1"/>
      <c r="B108" s="148" t="s">
        <v>68</v>
      </c>
      <c r="C108" s="156">
        <f t="shared" ref="C108:C115" si="47">C55</f>
        <v>45930</v>
      </c>
      <c r="D108" s="156" t="s">
        <v>37</v>
      </c>
      <c r="E108" s="156" t="str">
        <f t="shared" ref="E108:E115" si="48">E55</f>
        <v>OPEN</v>
      </c>
      <c r="F108" s="167">
        <f t="shared" si="21"/>
        <v>7.3500000529425569E-2</v>
      </c>
      <c r="G108" s="168">
        <v>444255.09</v>
      </c>
      <c r="H108" s="168">
        <v>22212.754500000003</v>
      </c>
      <c r="I108" s="168">
        <f t="shared" si="22"/>
        <v>466467.84450000001</v>
      </c>
      <c r="J108" s="43">
        <v>6346501.2400000002</v>
      </c>
      <c r="K108" s="44">
        <v>2184</v>
      </c>
      <c r="L108" s="45">
        <v>5200017.1100000003</v>
      </c>
      <c r="M108" s="46">
        <v>1828</v>
      </c>
      <c r="N108" s="29">
        <f>Collections!T97+Collections!Y97</f>
        <v>214636.53745499995</v>
      </c>
      <c r="O108" s="47">
        <f>SUM(Collections!V97:W97)</f>
        <v>171877.16999999998</v>
      </c>
      <c r="P108" s="47">
        <f t="shared" si="29"/>
        <v>386513.70745499991</v>
      </c>
      <c r="Q108" s="48">
        <f t="shared" si="30"/>
        <v>3.3819663675823994E-2</v>
      </c>
      <c r="R108" s="48">
        <f t="shared" si="31"/>
        <v>6.090185644634017E-2</v>
      </c>
      <c r="S108" s="49">
        <f t="shared" si="32"/>
        <v>0.46013147526828069</v>
      </c>
      <c r="T108" s="50">
        <f t="shared" si="33"/>
        <v>0.82859668037632528</v>
      </c>
      <c r="U108" s="1"/>
      <c r="V108" s="226" t="s">
        <v>68</v>
      </c>
      <c r="W108" s="38">
        <v>131959.38665999999</v>
      </c>
      <c r="X108" s="38">
        <v>128343.30740000001</v>
      </c>
      <c r="Y108" s="227">
        <f t="shared" si="38"/>
        <v>0.55802923423159989</v>
      </c>
      <c r="Z108" s="1"/>
    </row>
    <row r="109" spans="1:26" ht="15.75" customHeight="1" x14ac:dyDescent="0.25">
      <c r="A109" s="1"/>
      <c r="B109" s="148" t="s">
        <v>69</v>
      </c>
      <c r="C109" s="156">
        <f t="shared" si="47"/>
        <v>45930</v>
      </c>
      <c r="D109" s="156" t="s">
        <v>37</v>
      </c>
      <c r="E109" s="156" t="str">
        <f t="shared" si="48"/>
        <v>OPEN</v>
      </c>
      <c r="F109" s="167">
        <f t="shared" si="21"/>
        <v>7.3499936410572245E-2</v>
      </c>
      <c r="G109" s="168">
        <v>3814.31</v>
      </c>
      <c r="H109" s="168">
        <v>190.71550000000002</v>
      </c>
      <c r="I109" s="168">
        <f t="shared" si="22"/>
        <v>4005.0254999999997</v>
      </c>
      <c r="J109" s="43">
        <v>54490.19</v>
      </c>
      <c r="K109" s="44">
        <v>20</v>
      </c>
      <c r="L109" s="45">
        <v>44590.19</v>
      </c>
      <c r="M109" s="46">
        <v>17</v>
      </c>
      <c r="N109" s="29">
        <f>Collections!T98+Collections!Y98</f>
        <v>4340.79</v>
      </c>
      <c r="O109" s="47">
        <f>SUM(Collections!V98:W98)</f>
        <v>677.6</v>
      </c>
      <c r="P109" s="47">
        <f t="shared" si="29"/>
        <v>5018.3900000000003</v>
      </c>
      <c r="Q109" s="48">
        <f t="shared" si="30"/>
        <v>7.9661862070952577E-2</v>
      </c>
      <c r="R109" s="48">
        <f t="shared" si="31"/>
        <v>9.2097127941745113E-2</v>
      </c>
      <c r="S109" s="49">
        <f t="shared" si="32"/>
        <v>1.0838357958020493</v>
      </c>
      <c r="T109" s="50">
        <f t="shared" si="33"/>
        <v>1.2530232329357205</v>
      </c>
      <c r="U109" s="1"/>
      <c r="V109" s="226" t="s">
        <v>69</v>
      </c>
      <c r="W109" s="38">
        <v>2743.8500000000004</v>
      </c>
      <c r="X109" s="38">
        <v>1138.5</v>
      </c>
      <c r="Y109" s="227">
        <f t="shared" si="38"/>
        <v>0.96936960825842444</v>
      </c>
      <c r="Z109" s="1"/>
    </row>
    <row r="110" spans="1:26" ht="15.75" customHeight="1" x14ac:dyDescent="0.25">
      <c r="A110" s="1"/>
      <c r="B110" s="39" t="s">
        <v>70</v>
      </c>
      <c r="C110" s="40">
        <f t="shared" si="47"/>
        <v>45930</v>
      </c>
      <c r="D110" s="40" t="s">
        <v>37</v>
      </c>
      <c r="E110" s="40" t="str">
        <f t="shared" si="48"/>
        <v>NL001</v>
      </c>
      <c r="F110" s="41">
        <f t="shared" si="21"/>
        <v>7.874999928517501E-2</v>
      </c>
      <c r="G110" s="42">
        <v>523292.42</v>
      </c>
      <c r="H110" s="42">
        <v>26164.620999999999</v>
      </c>
      <c r="I110" s="42">
        <f t="shared" si="22"/>
        <v>549457.04099999997</v>
      </c>
      <c r="J110" s="43">
        <v>6977232.3300000001</v>
      </c>
      <c r="K110" s="44">
        <v>2364</v>
      </c>
      <c r="L110" s="45">
        <v>5601374.7400000002</v>
      </c>
      <c r="M110" s="46">
        <v>1945</v>
      </c>
      <c r="N110" s="29">
        <f>Collections!T99+Collections!Y99</f>
        <v>249154.70056499998</v>
      </c>
      <c r="O110" s="47">
        <f>SUM(Collections!V99:W99)</f>
        <v>179536.38000000003</v>
      </c>
      <c r="P110" s="47">
        <f t="shared" si="29"/>
        <v>428691.08056500001</v>
      </c>
      <c r="Q110" s="48">
        <f t="shared" si="30"/>
        <v>3.5709675238089711E-2</v>
      </c>
      <c r="R110" s="48">
        <f t="shared" si="31"/>
        <v>6.144142265719852E-2</v>
      </c>
      <c r="S110" s="49">
        <f t="shared" si="32"/>
        <v>0.45345619761563849</v>
      </c>
      <c r="T110" s="50">
        <f t="shared" si="33"/>
        <v>0.78020854876077572</v>
      </c>
      <c r="U110" s="1"/>
      <c r="V110" s="226" t="s">
        <v>70</v>
      </c>
      <c r="W110" s="38">
        <v>166435.71614500004</v>
      </c>
      <c r="X110" s="38">
        <v>162173.62905000002</v>
      </c>
      <c r="Y110" s="227">
        <f t="shared" si="38"/>
        <v>0.5980619423803144</v>
      </c>
      <c r="Z110" s="1"/>
    </row>
    <row r="111" spans="1:26" ht="15.75" customHeight="1" x14ac:dyDescent="0.25">
      <c r="A111" s="1"/>
      <c r="B111" s="39" t="s">
        <v>72</v>
      </c>
      <c r="C111" s="40">
        <f t="shared" si="47"/>
        <v>45930</v>
      </c>
      <c r="D111" s="40" t="s">
        <v>37</v>
      </c>
      <c r="E111" s="40" t="str">
        <f t="shared" si="48"/>
        <v>NL002</v>
      </c>
      <c r="F111" s="41">
        <f t="shared" si="21"/>
        <v>7.8749988172409774E-2</v>
      </c>
      <c r="G111" s="42">
        <v>6658.16</v>
      </c>
      <c r="H111" s="42">
        <v>332.90800000000002</v>
      </c>
      <c r="I111" s="42">
        <f t="shared" si="22"/>
        <v>6991.0680000000002</v>
      </c>
      <c r="J111" s="43">
        <v>88775.48</v>
      </c>
      <c r="K111" s="44">
        <v>32</v>
      </c>
      <c r="L111" s="45">
        <v>55969.56</v>
      </c>
      <c r="M111" s="46">
        <v>22</v>
      </c>
      <c r="N111" s="29">
        <f>Collections!T100+Collections!Y100</f>
        <v>4357.7427200000002</v>
      </c>
      <c r="O111" s="47">
        <f>SUM(Collections!V100:W100)</f>
        <v>1678.8599999999997</v>
      </c>
      <c r="P111" s="47">
        <f t="shared" si="29"/>
        <v>6036.6027199999999</v>
      </c>
      <c r="Q111" s="48">
        <f t="shared" si="30"/>
        <v>4.9087233546920843E-2</v>
      </c>
      <c r="R111" s="48">
        <f t="shared" si="31"/>
        <v>6.7998536532835413E-2</v>
      </c>
      <c r="S111" s="49">
        <f t="shared" si="32"/>
        <v>0.62333004342111964</v>
      </c>
      <c r="T111" s="50">
        <f t="shared" si="33"/>
        <v>0.86347360946853891</v>
      </c>
      <c r="U111" s="1"/>
      <c r="V111" s="226" t="s">
        <v>72</v>
      </c>
      <c r="W111" s="38">
        <v>3395.4127200000003</v>
      </c>
      <c r="X111" s="38">
        <v>3772.6808000000001</v>
      </c>
      <c r="Y111" s="227">
        <f t="shared" si="38"/>
        <v>1.025321670451496</v>
      </c>
      <c r="Z111" s="1"/>
    </row>
    <row r="112" spans="1:26" ht="15.75" customHeight="1" x14ac:dyDescent="0.25">
      <c r="A112" s="1"/>
      <c r="B112" s="39" t="s">
        <v>74</v>
      </c>
      <c r="C112" s="22">
        <f t="shared" si="47"/>
        <v>45959</v>
      </c>
      <c r="D112" s="40" t="s">
        <v>37</v>
      </c>
      <c r="E112" s="40" t="str">
        <f t="shared" si="48"/>
        <v>NEXA014</v>
      </c>
      <c r="F112" s="41">
        <f t="shared" si="21"/>
        <v>7.8750000262316072E-2</v>
      </c>
      <c r="G112" s="42">
        <v>225157.77</v>
      </c>
      <c r="H112" s="42">
        <v>11257.888500000001</v>
      </c>
      <c r="I112" s="42">
        <f t="shared" si="22"/>
        <v>236415.65849999999</v>
      </c>
      <c r="J112" s="43">
        <v>3002103.59</v>
      </c>
      <c r="K112" s="44">
        <v>1019</v>
      </c>
      <c r="L112" s="45">
        <v>3002103.59</v>
      </c>
      <c r="M112" s="46">
        <v>1019</v>
      </c>
      <c r="N112" s="29">
        <f>Collections!T101+Collections!Y101</f>
        <v>47446.86</v>
      </c>
      <c r="O112" s="47">
        <f>SUM(Collections!V101:W101)</f>
        <v>147980.23000000004</v>
      </c>
      <c r="P112" s="47">
        <f t="shared" si="29"/>
        <v>195427.09000000003</v>
      </c>
      <c r="Q112" s="48">
        <f t="shared" si="30"/>
        <v>1.5804537910698812E-2</v>
      </c>
      <c r="R112" s="48">
        <f t="shared" si="31"/>
        <v>6.509671773184883E-2</v>
      </c>
      <c r="S112" s="49">
        <f t="shared" si="32"/>
        <v>0.20069254422925631</v>
      </c>
      <c r="T112" s="50">
        <f t="shared" si="33"/>
        <v>0.82662498431761045</v>
      </c>
      <c r="U112" s="1"/>
      <c r="V112" s="226" t="s">
        <v>74</v>
      </c>
      <c r="W112" s="38">
        <v>0</v>
      </c>
      <c r="X112" s="38"/>
      <c r="Y112" s="227">
        <f t="shared" si="38"/>
        <v>0</v>
      </c>
      <c r="Z112" s="1"/>
    </row>
    <row r="113" spans="1:26" ht="15.75" customHeight="1" x14ac:dyDescent="0.25">
      <c r="A113" s="1"/>
      <c r="B113" s="39" t="s">
        <v>75</v>
      </c>
      <c r="C113" s="22">
        <f t="shared" si="47"/>
        <v>45959</v>
      </c>
      <c r="D113" s="40" t="s">
        <v>37</v>
      </c>
      <c r="E113" s="40" t="str">
        <f t="shared" si="48"/>
        <v>NEXA015</v>
      </c>
      <c r="F113" s="41">
        <f t="shared" si="21"/>
        <v>7.8750167430552812E-2</v>
      </c>
      <c r="G113" s="42">
        <v>2234.14</v>
      </c>
      <c r="H113" s="42">
        <v>111.70699999999999</v>
      </c>
      <c r="I113" s="42">
        <f t="shared" si="22"/>
        <v>2345.8469999999998</v>
      </c>
      <c r="J113" s="43">
        <v>29788.47</v>
      </c>
      <c r="K113" s="44">
        <v>11</v>
      </c>
      <c r="L113" s="45">
        <v>29788.47</v>
      </c>
      <c r="M113" s="46">
        <v>11</v>
      </c>
      <c r="N113" s="29">
        <f>Collections!T102+Collections!Y102</f>
        <v>983.58</v>
      </c>
      <c r="O113" s="47">
        <f>SUM(Collections!V102:W102)</f>
        <v>3442.3100000000009</v>
      </c>
      <c r="P113" s="47">
        <f t="shared" si="29"/>
        <v>4425.8900000000012</v>
      </c>
      <c r="Q113" s="48">
        <f t="shared" si="30"/>
        <v>3.3018815669284121E-2</v>
      </c>
      <c r="R113" s="48">
        <f t="shared" si="31"/>
        <v>0.14857728510393453</v>
      </c>
      <c r="S113" s="49">
        <f t="shared" si="32"/>
        <v>0.41928565673720414</v>
      </c>
      <c r="T113" s="50">
        <f t="shared" si="33"/>
        <v>1.8866916725600611</v>
      </c>
      <c r="U113" s="1"/>
      <c r="V113" s="228" t="s">
        <v>75</v>
      </c>
      <c r="W113" s="103">
        <v>0</v>
      </c>
      <c r="X113" s="103"/>
      <c r="Y113" s="229">
        <f t="shared" si="38"/>
        <v>0</v>
      </c>
      <c r="Z113" s="1"/>
    </row>
    <row r="114" spans="1:26" ht="15.75" customHeight="1" x14ac:dyDescent="0.25">
      <c r="A114" s="1"/>
      <c r="B114" s="148" t="s">
        <v>105</v>
      </c>
      <c r="C114" s="157">
        <f t="shared" si="47"/>
        <v>45986</v>
      </c>
      <c r="D114" s="157" t="s">
        <v>37</v>
      </c>
      <c r="E114" s="157" t="str">
        <f t="shared" si="48"/>
        <v>OPEN</v>
      </c>
      <c r="F114" s="169">
        <f t="shared" si="21"/>
        <v>7.8750001041068343E-2</v>
      </c>
      <c r="G114" s="170">
        <v>226930.35</v>
      </c>
      <c r="H114" s="170">
        <f t="shared" ref="H114:H115" si="49">G114*5%</f>
        <v>11346.517500000002</v>
      </c>
      <c r="I114" s="170">
        <f t="shared" si="22"/>
        <v>238276.86749999999</v>
      </c>
      <c r="J114" s="43">
        <v>3025737.96</v>
      </c>
      <c r="K114" s="44">
        <v>1024</v>
      </c>
      <c r="L114" s="45">
        <v>3025737.96</v>
      </c>
      <c r="M114" s="46">
        <v>1024</v>
      </c>
      <c r="N114" s="29">
        <f>Collections!T103+Collections!Y103</f>
        <v>33314.47</v>
      </c>
      <c r="O114" s="47">
        <f>SUM(Collections!V103:W103)</f>
        <v>153003.23000000001</v>
      </c>
      <c r="P114" s="47">
        <f t="shared" si="29"/>
        <v>186317.7</v>
      </c>
      <c r="Q114" s="48">
        <f t="shared" si="30"/>
        <v>1.1010361915147471E-2</v>
      </c>
      <c r="R114" s="48">
        <f t="shared" si="31"/>
        <v>6.157760601317902E-2</v>
      </c>
      <c r="S114" s="49">
        <f t="shared" si="32"/>
        <v>0.13981411770909738</v>
      </c>
      <c r="T114" s="50">
        <f t="shared" si="33"/>
        <v>0.78193784379845443</v>
      </c>
      <c r="U114" s="1"/>
      <c r="V114" s="230" t="s">
        <v>105</v>
      </c>
      <c r="W114" s="104"/>
      <c r="X114" s="104"/>
      <c r="Y114" s="231">
        <f t="shared" si="38"/>
        <v>0</v>
      </c>
      <c r="Z114" s="1"/>
    </row>
    <row r="115" spans="1:26" ht="15.75" customHeight="1" x14ac:dyDescent="0.25">
      <c r="A115" s="1"/>
      <c r="B115" s="148" t="s">
        <v>106</v>
      </c>
      <c r="C115" s="157">
        <f t="shared" si="47"/>
        <v>45986</v>
      </c>
      <c r="D115" s="157" t="s">
        <v>37</v>
      </c>
      <c r="E115" s="157" t="str">
        <f t="shared" si="48"/>
        <v>OPEN</v>
      </c>
      <c r="F115" s="169">
        <f t="shared" si="21"/>
        <v>7.8749917581505069E-2</v>
      </c>
      <c r="G115" s="170">
        <v>4538.57</v>
      </c>
      <c r="H115" s="170">
        <f t="shared" si="49"/>
        <v>226.92849999999999</v>
      </c>
      <c r="I115" s="170">
        <f t="shared" si="22"/>
        <v>4765.4984999999997</v>
      </c>
      <c r="J115" s="43">
        <v>60514.33</v>
      </c>
      <c r="K115" s="44">
        <v>21</v>
      </c>
      <c r="L115" s="45">
        <v>60514.33</v>
      </c>
      <c r="M115" s="46">
        <v>21</v>
      </c>
      <c r="N115" s="29">
        <f>Collections!T104+Collections!Y104</f>
        <v>581.08000000000004</v>
      </c>
      <c r="O115" s="47">
        <f>SUM(Collections!V104:W104)</f>
        <v>4624.1899999999996</v>
      </c>
      <c r="P115" s="47">
        <f t="shared" si="29"/>
        <v>5205.2699999999995</v>
      </c>
      <c r="Q115" s="48">
        <f t="shared" si="30"/>
        <v>9.6023536904399336E-3</v>
      </c>
      <c r="R115" s="48">
        <f t="shared" si="31"/>
        <v>8.6017146682446935E-2</v>
      </c>
      <c r="S115" s="49">
        <f t="shared" si="32"/>
        <v>0.12193477765232746</v>
      </c>
      <c r="T115" s="50">
        <f t="shared" si="33"/>
        <v>1.0922823708789331</v>
      </c>
      <c r="U115" s="1"/>
      <c r="V115" s="230" t="s">
        <v>106</v>
      </c>
      <c r="W115" s="104"/>
      <c r="X115" s="104"/>
      <c r="Y115" s="231">
        <f t="shared" si="38"/>
        <v>0</v>
      </c>
      <c r="Z115" s="1"/>
    </row>
    <row r="116" spans="1:26" ht="15.75" customHeight="1" x14ac:dyDescent="0.25">
      <c r="A116" s="1"/>
      <c r="B116" s="148" t="s">
        <v>123</v>
      </c>
      <c r="C116" s="157">
        <v>46021</v>
      </c>
      <c r="D116" s="157" t="s">
        <v>129</v>
      </c>
      <c r="E116" s="157" t="s">
        <v>120</v>
      </c>
      <c r="F116" s="169">
        <v>7.8750001035275824E-2</v>
      </c>
      <c r="G116" s="170">
        <v>266233.40000000002</v>
      </c>
      <c r="H116" s="170">
        <v>13311.670000000002</v>
      </c>
      <c r="I116" s="170">
        <v>279545.07</v>
      </c>
      <c r="J116" s="43">
        <v>3549778.62</v>
      </c>
      <c r="K116" s="44">
        <v>1212</v>
      </c>
      <c r="L116" s="45">
        <v>3549778.62</v>
      </c>
      <c r="M116" s="46">
        <v>1212</v>
      </c>
      <c r="N116" s="29">
        <f>Collections!T105+Collections!Y105</f>
        <v>14869.61</v>
      </c>
      <c r="O116" s="47">
        <f>SUM(Collections!V105:W105)</f>
        <v>52836.229999999996</v>
      </c>
      <c r="P116" s="47">
        <f t="shared" si="29"/>
        <v>67705.84</v>
      </c>
      <c r="Q116" s="48">
        <f t="shared" si="30"/>
        <v>4.1888837563622489E-3</v>
      </c>
      <c r="R116" s="48">
        <f t="shared" si="31"/>
        <v>1.9073257024687356E-2</v>
      </c>
      <c r="S116" s="49">
        <f t="shared" si="32"/>
        <v>5.3192173984681609E-2</v>
      </c>
      <c r="T116" s="50">
        <f t="shared" si="33"/>
        <v>0.24220008601832968</v>
      </c>
      <c r="U116" s="1"/>
      <c r="V116" s="230" t="s">
        <v>123</v>
      </c>
      <c r="W116" s="104"/>
      <c r="X116" s="104"/>
      <c r="Y116" s="231">
        <f t="shared" ref="Y116:Y119" si="50">SUM(W116:X116)/I116</f>
        <v>0</v>
      </c>
      <c r="Z116" s="1"/>
    </row>
    <row r="117" spans="1:26" ht="15.75" customHeight="1" x14ac:dyDescent="0.25">
      <c r="A117" s="1"/>
      <c r="B117" s="148" t="s">
        <v>124</v>
      </c>
      <c r="C117" s="157">
        <v>46021</v>
      </c>
      <c r="D117" s="157" t="s">
        <v>129</v>
      </c>
      <c r="E117" s="157" t="s">
        <v>120</v>
      </c>
      <c r="F117" s="169">
        <v>7.8749775260697583E-2</v>
      </c>
      <c r="G117" s="170">
        <v>1401.62</v>
      </c>
      <c r="H117" s="170">
        <v>70.081000000000003</v>
      </c>
      <c r="I117" s="170">
        <v>1471.7009999999998</v>
      </c>
      <c r="J117" s="43">
        <v>18688.32</v>
      </c>
      <c r="K117" s="44">
        <v>6</v>
      </c>
      <c r="L117" s="45">
        <v>18688.32</v>
      </c>
      <c r="M117" s="46">
        <v>6</v>
      </c>
      <c r="N117" s="29">
        <f>Collections!T106+Collections!Y106</f>
        <v>0</v>
      </c>
      <c r="O117" s="47">
        <f>SUM(Collections!V106:W106)</f>
        <v>0</v>
      </c>
      <c r="P117" s="47">
        <f t="shared" si="29"/>
        <v>0</v>
      </c>
      <c r="Q117" s="48">
        <f t="shared" si="30"/>
        <v>0</v>
      </c>
      <c r="R117" s="48">
        <f t="shared" si="31"/>
        <v>0</v>
      </c>
      <c r="S117" s="49">
        <f t="shared" si="32"/>
        <v>0</v>
      </c>
      <c r="T117" s="50">
        <f t="shared" si="33"/>
        <v>0</v>
      </c>
      <c r="U117" s="1"/>
      <c r="V117" s="230" t="s">
        <v>124</v>
      </c>
      <c r="W117" s="104"/>
      <c r="X117" s="104"/>
      <c r="Y117" s="231">
        <f t="shared" si="50"/>
        <v>0</v>
      </c>
      <c r="Z117" s="1"/>
    </row>
    <row r="118" spans="1:26" ht="15.75" customHeight="1" x14ac:dyDescent="0.25">
      <c r="A118" s="1"/>
      <c r="B118" s="148" t="s">
        <v>125</v>
      </c>
      <c r="C118" s="157">
        <v>46052</v>
      </c>
      <c r="D118" s="157" t="s">
        <v>129</v>
      </c>
      <c r="E118" s="157" t="s">
        <v>120</v>
      </c>
      <c r="F118" s="169">
        <v>7.875000079248666E-2</v>
      </c>
      <c r="G118" s="170">
        <v>298112.28000000003</v>
      </c>
      <c r="H118" s="170">
        <v>14905.614000000001</v>
      </c>
      <c r="I118" s="170">
        <v>313017.89400000003</v>
      </c>
      <c r="J118" s="43">
        <v>3974830.36</v>
      </c>
      <c r="K118" s="44">
        <v>1348</v>
      </c>
      <c r="L118" s="45">
        <v>3974830.36</v>
      </c>
      <c r="M118" s="46">
        <v>1348</v>
      </c>
      <c r="N118" s="29">
        <f>Collections!T107+Collections!Y107</f>
        <v>12523.64</v>
      </c>
      <c r="O118" s="47">
        <f>SUM(Collections!V107:W107)</f>
        <v>84439.350000000079</v>
      </c>
      <c r="P118" s="47">
        <f t="shared" si="29"/>
        <v>96962.990000000078</v>
      </c>
      <c r="Q118" s="48">
        <f t="shared" si="30"/>
        <v>3.1507357209579127E-3</v>
      </c>
      <c r="R118" s="48">
        <f t="shared" si="31"/>
        <v>2.4394246098090103E-2</v>
      </c>
      <c r="S118" s="49">
        <f t="shared" si="32"/>
        <v>4.0009342085727526E-2</v>
      </c>
      <c r="T118" s="50">
        <f t="shared" si="33"/>
        <v>0.3097682013028944</v>
      </c>
      <c r="U118" s="1"/>
      <c r="V118" s="230" t="s">
        <v>125</v>
      </c>
      <c r="W118" s="104"/>
      <c r="X118" s="104"/>
      <c r="Y118" s="231">
        <f t="shared" si="50"/>
        <v>0</v>
      </c>
      <c r="Z118" s="1"/>
    </row>
    <row r="119" spans="1:26" ht="15.75" customHeight="1" thickBot="1" x14ac:dyDescent="0.3">
      <c r="A119" s="1"/>
      <c r="B119" s="148" t="s">
        <v>126</v>
      </c>
      <c r="C119" s="157">
        <v>46052</v>
      </c>
      <c r="D119" s="157" t="s">
        <v>129</v>
      </c>
      <c r="E119" s="157" t="s">
        <v>120</v>
      </c>
      <c r="F119" s="169">
        <v>7.8750022000346975E-2</v>
      </c>
      <c r="G119" s="170">
        <v>3579.49</v>
      </c>
      <c r="H119" s="170">
        <v>178.97450000000001</v>
      </c>
      <c r="I119" s="170">
        <v>3758.4644999999996</v>
      </c>
      <c r="J119" s="43">
        <v>47726.52</v>
      </c>
      <c r="K119" s="44">
        <v>16</v>
      </c>
      <c r="L119" s="45">
        <v>47726.52</v>
      </c>
      <c r="M119" s="46">
        <v>16</v>
      </c>
      <c r="N119" s="47">
        <f>Collections!T108+Collections!Y108</f>
        <v>0</v>
      </c>
      <c r="O119" s="47">
        <f>SUM(Collections!V108:W108)</f>
        <v>0</v>
      </c>
      <c r="P119" s="47">
        <f t="shared" si="29"/>
        <v>0</v>
      </c>
      <c r="Q119" s="48">
        <f t="shared" si="30"/>
        <v>0</v>
      </c>
      <c r="R119" s="48">
        <f t="shared" si="31"/>
        <v>0</v>
      </c>
      <c r="S119" s="49">
        <f t="shared" si="32"/>
        <v>0</v>
      </c>
      <c r="T119" s="50">
        <f t="shared" si="33"/>
        <v>0</v>
      </c>
      <c r="U119" s="1"/>
      <c r="V119" s="232" t="s">
        <v>126</v>
      </c>
      <c r="W119" s="233"/>
      <c r="X119" s="233"/>
      <c r="Y119" s="234">
        <f t="shared" si="50"/>
        <v>0</v>
      </c>
      <c r="Z119" s="1"/>
    </row>
    <row r="120" spans="1:26" ht="15.75" customHeight="1" thickBot="1" x14ac:dyDescent="0.3">
      <c r="A120" s="1"/>
      <c r="B120" s="236" t="s">
        <v>76</v>
      </c>
      <c r="C120" s="154"/>
      <c r="D120" s="154"/>
      <c r="E120" s="154"/>
      <c r="F120" s="154"/>
      <c r="G120" s="237">
        <f t="shared" ref="G120:P120" si="51">SUM(G71:G119)</f>
        <v>6638741.7199999997</v>
      </c>
      <c r="H120" s="237">
        <f t="shared" si="51"/>
        <v>331937.08600000007</v>
      </c>
      <c r="I120" s="237">
        <f t="shared" si="51"/>
        <v>6970678.8060000008</v>
      </c>
      <c r="J120" s="237">
        <f t="shared" si="51"/>
        <v>96848922.940000013</v>
      </c>
      <c r="K120" s="238">
        <f t="shared" si="51"/>
        <v>32073</v>
      </c>
      <c r="L120" s="237">
        <f t="shared" si="51"/>
        <v>90251441.280000001</v>
      </c>
      <c r="M120" s="238">
        <f t="shared" si="51"/>
        <v>30162</v>
      </c>
      <c r="N120" s="237">
        <f t="shared" si="51"/>
        <v>2133249.4315687502</v>
      </c>
      <c r="O120" s="237">
        <f t="shared" si="51"/>
        <v>2266390.120000001</v>
      </c>
      <c r="P120" s="237">
        <f t="shared" si="51"/>
        <v>4399639.5515687503</v>
      </c>
      <c r="Q120" s="220"/>
      <c r="R120" s="220"/>
      <c r="S120" s="220"/>
      <c r="T120" s="220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5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5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5.7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5.7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5.7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5.7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5.7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5.7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5.7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5.7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5.7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5.7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5.7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5.75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5.75" customHeight="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5" customHeight="1" x14ac:dyDescent="0.25"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</row>
    <row r="1082" spans="1:26" ht="15" customHeight="1" x14ac:dyDescent="0.25"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</row>
    <row r="1083" spans="1:26" ht="15" customHeight="1" x14ac:dyDescent="0.25"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</row>
    <row r="1084" spans="1:26" ht="15" customHeight="1" x14ac:dyDescent="0.25"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</row>
    <row r="1085" spans="1:26" ht="15" customHeight="1" x14ac:dyDescent="0.25"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</row>
    <row r="1086" spans="1:26" ht="15" customHeight="1" x14ac:dyDescent="0.25"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</row>
    <row r="1087" spans="1:26" ht="15" customHeight="1" x14ac:dyDescent="0.25"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</row>
    <row r="1088" spans="1:26" ht="15" customHeight="1" x14ac:dyDescent="0.25"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</row>
    <row r="1089" spans="2:20" ht="15" customHeight="1" x14ac:dyDescent="0.25"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</row>
    <row r="1090" spans="2:20" ht="15" customHeight="1" x14ac:dyDescent="0.25"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</row>
    <row r="1091" spans="2:20" ht="15" customHeight="1" x14ac:dyDescent="0.25"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</row>
    <row r="1092" spans="2:20" ht="15" customHeight="1" x14ac:dyDescent="0.25"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</row>
    <row r="1093" spans="2:20" ht="15" customHeight="1" x14ac:dyDescent="0.25"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</row>
    <row r="1094" spans="2:20" ht="15" customHeight="1" x14ac:dyDescent="0.25"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</row>
  </sheetData>
  <mergeCells count="10">
    <mergeCell ref="L16:M16"/>
    <mergeCell ref="N16:P16"/>
    <mergeCell ref="Q16:R16"/>
    <mergeCell ref="S16:T16"/>
    <mergeCell ref="J69:K69"/>
    <mergeCell ref="L69:M69"/>
    <mergeCell ref="N69:P69"/>
    <mergeCell ref="Q69:R69"/>
    <mergeCell ref="S69:T69"/>
    <mergeCell ref="J16:K16"/>
  </mergeCells>
  <pageMargins left="0.7" right="0.7" top="0.75" bottom="0.75" header="0" footer="0"/>
  <pageSetup orientation="portrait" r:id="rId1"/>
  <ignoredErrors>
    <ignoredError sqref="Y73:Y119 O18:O6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K1048"/>
  <sheetViews>
    <sheetView topLeftCell="A37" zoomScale="70" zoomScaleNormal="70" workbookViewId="0">
      <pane xSplit="5" topLeftCell="F1" activePane="topRight" state="frozen"/>
      <selection pane="topRight" activeCell="AE46" sqref="AE46"/>
    </sheetView>
  </sheetViews>
  <sheetFormatPr defaultColWidth="11.25" defaultRowHeight="15" customHeight="1" x14ac:dyDescent="0.25"/>
  <cols>
    <col min="1" max="1" width="3" customWidth="1"/>
    <col min="2" max="2" width="11.25" bestFit="1" customWidth="1"/>
    <col min="3" max="3" width="13.5" customWidth="1"/>
    <col min="4" max="4" width="13.125" customWidth="1"/>
    <col min="5" max="5" width="10.625" customWidth="1"/>
    <col min="6" max="6" width="11.875" customWidth="1"/>
    <col min="7" max="7" width="10.875" customWidth="1"/>
    <col min="8" max="18" width="11.875" customWidth="1"/>
    <col min="19" max="19" width="23" customWidth="1"/>
    <col min="20" max="20" width="18.75" customWidth="1"/>
    <col min="21" max="22" width="11.875" customWidth="1"/>
    <col min="23" max="23" width="13.5" customWidth="1"/>
    <col min="24" max="24" width="9.75" customWidth="1"/>
    <col min="25" max="25" width="12.625" bestFit="1" customWidth="1"/>
    <col min="26" max="26" width="13.5" bestFit="1" customWidth="1"/>
    <col min="27" max="27" width="15.625" bestFit="1" customWidth="1"/>
    <col min="28" max="28" width="12.25" bestFit="1" customWidth="1"/>
    <col min="29" max="29" width="10" bestFit="1" customWidth="1"/>
    <col min="30" max="30" width="11.25" bestFit="1" customWidth="1"/>
    <col min="31" max="31" width="15.625" customWidth="1"/>
    <col min="32" max="37" width="8.75" customWidth="1"/>
  </cols>
  <sheetData>
    <row r="1" spans="1:37" ht="15.75" customHeight="1" x14ac:dyDescent="0.25">
      <c r="B1" s="51"/>
      <c r="C1" s="51"/>
      <c r="D1" s="51"/>
      <c r="E1" s="51"/>
      <c r="F1" s="51"/>
      <c r="G1" s="51"/>
      <c r="H1" s="51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37" ht="15.75" customHeight="1" x14ac:dyDescent="0.25">
      <c r="B2" s="51"/>
      <c r="C2" s="51"/>
      <c r="D2" s="51"/>
      <c r="E2" s="51"/>
      <c r="F2" s="51"/>
      <c r="G2" s="51"/>
      <c r="H2" s="51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U2" s="284" t="s">
        <v>84</v>
      </c>
      <c r="V2" s="282"/>
      <c r="W2" s="281"/>
      <c r="X2" s="53"/>
      <c r="Y2" s="53"/>
    </row>
    <row r="3" spans="1:37" ht="15.75" customHeight="1" thickBot="1" x14ac:dyDescent="0.3">
      <c r="B3" s="285" t="s">
        <v>85</v>
      </c>
      <c r="C3" s="281"/>
      <c r="D3" s="4"/>
      <c r="E3" s="4"/>
      <c r="F3" s="4"/>
      <c r="G3" s="4"/>
      <c r="H3" s="51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4"/>
      <c r="U3" s="286">
        <v>46054</v>
      </c>
      <c r="V3" s="282"/>
      <c r="W3" s="281"/>
      <c r="X3" s="55"/>
      <c r="Y3" s="55"/>
      <c r="Z3" s="4"/>
    </row>
    <row r="4" spans="1:37" ht="15.75" customHeight="1" thickBot="1" x14ac:dyDescent="0.3">
      <c r="A4" s="51"/>
      <c r="B4" s="56" t="s">
        <v>86</v>
      </c>
      <c r="C4" s="57" t="s">
        <v>87</v>
      </c>
      <c r="D4" s="57" t="s">
        <v>11</v>
      </c>
      <c r="E4" s="57" t="s">
        <v>13</v>
      </c>
      <c r="F4" s="58">
        <v>45658</v>
      </c>
      <c r="G4" s="58">
        <v>45689</v>
      </c>
      <c r="H4" s="58">
        <v>45717</v>
      </c>
      <c r="I4" s="58">
        <v>45748</v>
      </c>
      <c r="J4" s="58">
        <v>45778</v>
      </c>
      <c r="K4" s="58">
        <v>45809</v>
      </c>
      <c r="L4" s="58">
        <v>45839</v>
      </c>
      <c r="M4" s="58">
        <v>45870</v>
      </c>
      <c r="N4" s="58">
        <v>45901</v>
      </c>
      <c r="O4" s="58">
        <v>45931</v>
      </c>
      <c r="P4" s="58">
        <v>45962</v>
      </c>
      <c r="Q4" s="58">
        <v>45992</v>
      </c>
      <c r="R4" s="58">
        <v>46023</v>
      </c>
      <c r="S4" s="58" t="s">
        <v>121</v>
      </c>
      <c r="T4" s="59" t="s">
        <v>88</v>
      </c>
      <c r="U4" s="58" t="s">
        <v>81</v>
      </c>
      <c r="V4" s="58" t="s">
        <v>89</v>
      </c>
      <c r="W4" s="58" t="s">
        <v>22</v>
      </c>
      <c r="X4" s="58" t="s">
        <v>90</v>
      </c>
      <c r="Y4" s="60" t="s">
        <v>91</v>
      </c>
      <c r="Z4" s="61" t="s">
        <v>92</v>
      </c>
      <c r="AA4" s="105" t="s">
        <v>93</v>
      </c>
      <c r="AB4" s="51"/>
      <c r="AC4" s="51"/>
      <c r="AD4" s="51"/>
      <c r="AE4" s="51"/>
      <c r="AF4" s="51"/>
      <c r="AG4" s="51"/>
      <c r="AH4" s="51"/>
      <c r="AI4" s="51"/>
      <c r="AJ4" s="51"/>
      <c r="AK4" s="51"/>
    </row>
    <row r="5" spans="1:37" ht="15.75" customHeight="1" x14ac:dyDescent="0.25">
      <c r="B5" s="112">
        <v>1401</v>
      </c>
      <c r="C5" s="113">
        <f>XTARGETS!I18</f>
        <v>44411.608499999995</v>
      </c>
      <c r="D5" s="114">
        <f>XTARGETS!C18</f>
        <v>45657</v>
      </c>
      <c r="E5" s="113" t="s">
        <v>25</v>
      </c>
      <c r="F5" s="202">
        <v>17764.75</v>
      </c>
      <c r="G5" s="202">
        <v>4156.67</v>
      </c>
      <c r="H5" s="202">
        <v>4022.87</v>
      </c>
      <c r="I5" s="202">
        <v>7654.37</v>
      </c>
      <c r="J5" s="202">
        <v>4466.2</v>
      </c>
      <c r="K5" s="202">
        <v>4781.6099999999997</v>
      </c>
      <c r="L5" s="202">
        <v>2771.73</v>
      </c>
      <c r="M5" s="202">
        <v>2772.66</v>
      </c>
      <c r="N5" s="202">
        <v>2227.66</v>
      </c>
      <c r="O5" s="202">
        <v>2769.7099999999996</v>
      </c>
      <c r="P5" s="202">
        <v>2355.8599999999997</v>
      </c>
      <c r="Q5" s="202">
        <v>5340.2300000000005</v>
      </c>
      <c r="R5" s="202">
        <v>7350.68</v>
      </c>
      <c r="S5" s="203">
        <f>SUM(F5:R5)+Y5</f>
        <v>68435</v>
      </c>
      <c r="T5" s="252">
        <f>SUM(F5:R5)+U5</f>
        <v>68691</v>
      </c>
      <c r="U5" s="255">
        <v>256</v>
      </c>
      <c r="V5" s="116">
        <v>1454.35</v>
      </c>
      <c r="W5" s="256">
        <v>20302.490000000002</v>
      </c>
      <c r="X5" s="137"/>
      <c r="Y5" s="115"/>
      <c r="Z5" s="115">
        <f t="shared" ref="Z5:Z53" si="0">SUM(T5+V5+W5)</f>
        <v>90447.840000000011</v>
      </c>
      <c r="AA5" s="117">
        <f t="shared" ref="AA5:AA53" si="1">Z5/C5</f>
        <v>2.0365810438953145</v>
      </c>
      <c r="AB5" s="62"/>
      <c r="AC5" s="62"/>
    </row>
    <row r="6" spans="1:37" ht="15.75" customHeight="1" x14ac:dyDescent="0.25">
      <c r="B6" s="118" t="s">
        <v>26</v>
      </c>
      <c r="C6" s="107">
        <f>XTARGETS!I19</f>
        <v>26705.427000000003</v>
      </c>
      <c r="D6" s="108">
        <f>XTARGETS!C19</f>
        <v>45657</v>
      </c>
      <c r="E6" s="107" t="s">
        <v>27</v>
      </c>
      <c r="F6" s="204"/>
      <c r="G6" s="204"/>
      <c r="H6" s="204">
        <v>4419.4799999999996</v>
      </c>
      <c r="I6" s="204">
        <v>4223.16</v>
      </c>
      <c r="J6" s="204">
        <v>1209.1600000000001</v>
      </c>
      <c r="K6" s="204">
        <v>1794.16</v>
      </c>
      <c r="L6" s="204">
        <v>1309.1600000000001</v>
      </c>
      <c r="M6" s="204">
        <v>924.74</v>
      </c>
      <c r="N6" s="204">
        <v>278</v>
      </c>
      <c r="O6" s="204">
        <v>848.16000000000008</v>
      </c>
      <c r="P6" s="204">
        <v>1140.32</v>
      </c>
      <c r="Q6" s="204">
        <v>-215.57999999999996</v>
      </c>
      <c r="R6" s="204">
        <v>215.58</v>
      </c>
      <c r="S6" s="205">
        <f>SUM(F6:R6)+Y6</f>
        <v>16146.339999999998</v>
      </c>
      <c r="T6" s="253">
        <f t="shared" ref="T6:T53" si="2">SUM(F6:R6)+U6</f>
        <v>16146.339999999998</v>
      </c>
      <c r="U6" s="257">
        <v>0</v>
      </c>
      <c r="V6" s="110">
        <v>215.58</v>
      </c>
      <c r="W6" s="258">
        <v>646.63</v>
      </c>
      <c r="X6" s="138"/>
      <c r="Y6" s="109"/>
      <c r="Z6" s="109">
        <f t="shared" si="0"/>
        <v>17008.55</v>
      </c>
      <c r="AA6" s="119">
        <f t="shared" si="1"/>
        <v>0.63689489031573987</v>
      </c>
      <c r="AC6" s="62"/>
    </row>
    <row r="7" spans="1:37" ht="15.75" customHeight="1" x14ac:dyDescent="0.25">
      <c r="B7" s="118">
        <v>1402</v>
      </c>
      <c r="C7" s="107">
        <f>XTARGETS!I20</f>
        <v>24799.488000000001</v>
      </c>
      <c r="D7" s="108">
        <f>XTARGETS!C20</f>
        <v>45688</v>
      </c>
      <c r="E7" s="107" t="s">
        <v>28</v>
      </c>
      <c r="F7" s="204"/>
      <c r="G7" s="204">
        <v>2398.69</v>
      </c>
      <c r="H7" s="204">
        <v>1748.6</v>
      </c>
      <c r="I7" s="204">
        <v>1479.74</v>
      </c>
      <c r="J7" s="204">
        <v>1810.12</v>
      </c>
      <c r="K7" s="204">
        <v>1542.12</v>
      </c>
      <c r="L7" s="204">
        <v>1097.52</v>
      </c>
      <c r="M7" s="204">
        <v>1360.52</v>
      </c>
      <c r="N7" s="204">
        <v>1380.02</v>
      </c>
      <c r="O7" s="204">
        <v>1661.02</v>
      </c>
      <c r="P7" s="204">
        <v>994.52</v>
      </c>
      <c r="Q7" s="204">
        <v>994.52</v>
      </c>
      <c r="R7" s="204">
        <v>1048.52</v>
      </c>
      <c r="S7" s="205">
        <f t="shared" ref="S7:S49" si="3">SUM(F7:R7)+Y7</f>
        <v>21343.621750000002</v>
      </c>
      <c r="T7" s="253">
        <f t="shared" si="2"/>
        <v>17799.670000000002</v>
      </c>
      <c r="U7" s="257">
        <v>283.76</v>
      </c>
      <c r="V7" s="110">
        <v>1648.48</v>
      </c>
      <c r="W7" s="258">
        <v>17044.810000000005</v>
      </c>
      <c r="X7" s="138"/>
      <c r="Y7" s="109">
        <v>3827.7117499999999</v>
      </c>
      <c r="Z7" s="109">
        <f t="shared" si="0"/>
        <v>36492.960000000006</v>
      </c>
      <c r="AA7" s="119">
        <f t="shared" si="1"/>
        <v>1.4715207023628878</v>
      </c>
      <c r="AC7" s="62"/>
    </row>
    <row r="8" spans="1:37" ht="15.75" customHeight="1" x14ac:dyDescent="0.25">
      <c r="A8" s="51"/>
      <c r="B8" s="118">
        <v>1403</v>
      </c>
      <c r="C8" s="107">
        <f>XTARGETS!I21</f>
        <v>20767.834500000001</v>
      </c>
      <c r="D8" s="108">
        <f>XTARGETS!C21</f>
        <v>45719</v>
      </c>
      <c r="E8" s="107" t="s">
        <v>29</v>
      </c>
      <c r="F8" s="204"/>
      <c r="G8" s="204"/>
      <c r="H8" s="204">
        <v>6221.67</v>
      </c>
      <c r="I8" s="204">
        <v>2363.6799999999998</v>
      </c>
      <c r="J8" s="204">
        <v>1601.6</v>
      </c>
      <c r="K8" s="204">
        <v>1468.6</v>
      </c>
      <c r="L8" s="204">
        <v>911.3</v>
      </c>
      <c r="M8" s="204">
        <v>1784.6</v>
      </c>
      <c r="N8" s="204">
        <v>1524.6</v>
      </c>
      <c r="O8" s="204">
        <v>1357.6</v>
      </c>
      <c r="P8" s="204">
        <v>1224.5999999999999</v>
      </c>
      <c r="Q8" s="204">
        <v>924.59999999999991</v>
      </c>
      <c r="R8" s="204">
        <v>2572.62</v>
      </c>
      <c r="S8" s="205">
        <f t="shared" si="3"/>
        <v>24343.493299999998</v>
      </c>
      <c r="T8" s="253">
        <f t="shared" si="2"/>
        <v>23136.489999999998</v>
      </c>
      <c r="U8" s="257">
        <v>1181.02</v>
      </c>
      <c r="V8" s="110">
        <v>1873.62</v>
      </c>
      <c r="W8" s="258">
        <v>8833.42</v>
      </c>
      <c r="X8" s="138"/>
      <c r="Y8" s="109">
        <v>2388.0232999999998</v>
      </c>
      <c r="Z8" s="109">
        <f t="shared" si="0"/>
        <v>33843.53</v>
      </c>
      <c r="AA8" s="119">
        <f t="shared" si="1"/>
        <v>1.6296128515469437</v>
      </c>
      <c r="AB8" s="51"/>
      <c r="AC8" s="63"/>
      <c r="AD8" s="51"/>
      <c r="AE8" s="51"/>
      <c r="AF8" s="51"/>
      <c r="AG8" s="51"/>
      <c r="AH8" s="51"/>
      <c r="AI8" s="51"/>
      <c r="AJ8" s="51"/>
      <c r="AK8" s="51"/>
    </row>
    <row r="9" spans="1:37" ht="15.75" customHeight="1" x14ac:dyDescent="0.25">
      <c r="B9" s="118">
        <v>1404</v>
      </c>
      <c r="C9" s="107">
        <f>XTARGETS!I22</f>
        <v>16507.512000000002</v>
      </c>
      <c r="D9" s="108">
        <f>XTARGETS!C22</f>
        <v>45749</v>
      </c>
      <c r="E9" s="107" t="s">
        <v>30</v>
      </c>
      <c r="F9" s="204"/>
      <c r="G9" s="204"/>
      <c r="H9" s="204"/>
      <c r="I9" s="204">
        <v>1512.86</v>
      </c>
      <c r="J9" s="204">
        <v>1838.8600000000001</v>
      </c>
      <c r="K9" s="204">
        <v>1615.8600000000001</v>
      </c>
      <c r="L9" s="204">
        <v>971.75</v>
      </c>
      <c r="M9" s="204">
        <v>971.75</v>
      </c>
      <c r="N9" s="204">
        <v>1208.1100000000001</v>
      </c>
      <c r="O9" s="204">
        <v>5333.33</v>
      </c>
      <c r="P9" s="204">
        <v>823.93000000000006</v>
      </c>
      <c r="Q9" s="204">
        <v>823.93000000000006</v>
      </c>
      <c r="R9" s="204">
        <v>823.93000000000006</v>
      </c>
      <c r="S9" s="205">
        <f t="shared" si="3"/>
        <v>16597.767250000001</v>
      </c>
      <c r="T9" s="253">
        <f t="shared" si="2"/>
        <v>15924.310000000001</v>
      </c>
      <c r="U9" s="257">
        <v>0</v>
      </c>
      <c r="V9" s="110">
        <v>705.75</v>
      </c>
      <c r="W9" s="258">
        <v>7003.3700000000008</v>
      </c>
      <c r="X9" s="138"/>
      <c r="Y9" s="109">
        <v>673.45724999999993</v>
      </c>
      <c r="Z9" s="109">
        <f t="shared" si="0"/>
        <v>23633.43</v>
      </c>
      <c r="AA9" s="119">
        <f t="shared" si="1"/>
        <v>1.4316772872859336</v>
      </c>
      <c r="AC9" s="62"/>
    </row>
    <row r="10" spans="1:37" ht="15.75" customHeight="1" x14ac:dyDescent="0.25">
      <c r="B10" s="118">
        <v>1405</v>
      </c>
      <c r="C10" s="107">
        <f>XTARGETS!I23</f>
        <v>22630.65</v>
      </c>
      <c r="D10" s="108">
        <f>XTARGETS!C23</f>
        <v>45776</v>
      </c>
      <c r="E10" s="107" t="s">
        <v>31</v>
      </c>
      <c r="F10" s="204"/>
      <c r="G10" s="204"/>
      <c r="H10" s="204"/>
      <c r="I10" s="204"/>
      <c r="J10" s="204">
        <v>4224</v>
      </c>
      <c r="K10" s="204">
        <v>1813</v>
      </c>
      <c r="L10" s="204">
        <v>1379</v>
      </c>
      <c r="M10" s="204">
        <v>1303</v>
      </c>
      <c r="N10" s="204">
        <v>1243</v>
      </c>
      <c r="O10" s="204">
        <v>1529</v>
      </c>
      <c r="P10" s="204">
        <v>1183</v>
      </c>
      <c r="Q10" s="204">
        <v>1303</v>
      </c>
      <c r="R10" s="204">
        <v>1428</v>
      </c>
      <c r="S10" s="205">
        <f t="shared" si="3"/>
        <v>21200.495150000002</v>
      </c>
      <c r="T10" s="253">
        <f t="shared" si="2"/>
        <v>15876</v>
      </c>
      <c r="U10" s="257">
        <v>471</v>
      </c>
      <c r="V10" s="110">
        <v>712</v>
      </c>
      <c r="W10" s="258">
        <v>13773.430000000002</v>
      </c>
      <c r="X10" s="138"/>
      <c r="Y10" s="109">
        <v>5795.4951500000006</v>
      </c>
      <c r="Z10" s="109">
        <f t="shared" si="0"/>
        <v>30361.43</v>
      </c>
      <c r="AA10" s="119">
        <f t="shared" si="1"/>
        <v>1.3416066264115258</v>
      </c>
      <c r="AC10" s="62"/>
    </row>
    <row r="11" spans="1:37" ht="15.75" customHeight="1" x14ac:dyDescent="0.25">
      <c r="B11" s="118">
        <v>1406</v>
      </c>
      <c r="C11" s="107">
        <f>XTARGETS!I24</f>
        <v>22692.474000000002</v>
      </c>
      <c r="D11" s="108">
        <f>XTARGETS!C24</f>
        <v>45806</v>
      </c>
      <c r="E11" s="107" t="s">
        <v>32</v>
      </c>
      <c r="F11" s="204"/>
      <c r="G11" s="204"/>
      <c r="H11" s="204"/>
      <c r="I11" s="204"/>
      <c r="J11" s="204"/>
      <c r="K11" s="204">
        <v>2311.4100000000003</v>
      </c>
      <c r="L11" s="204">
        <v>689.0200000000001</v>
      </c>
      <c r="M11" s="204">
        <v>3129.03</v>
      </c>
      <c r="N11" s="204">
        <v>3950.7</v>
      </c>
      <c r="O11" s="204">
        <v>1198.4000000000001</v>
      </c>
      <c r="P11" s="204">
        <v>739.04</v>
      </c>
      <c r="Q11" s="204">
        <v>679.40000000000009</v>
      </c>
      <c r="R11" s="204">
        <v>580.72</v>
      </c>
      <c r="S11" s="205">
        <f t="shared" si="3"/>
        <v>16772.621749999998</v>
      </c>
      <c r="T11" s="253">
        <f t="shared" si="2"/>
        <v>13618.739999999998</v>
      </c>
      <c r="U11" s="257">
        <v>341.02</v>
      </c>
      <c r="V11" s="110">
        <v>239.70000000000002</v>
      </c>
      <c r="W11" s="258">
        <v>12250.250000000007</v>
      </c>
      <c r="X11" s="138"/>
      <c r="Y11" s="109">
        <v>3494.9017500000004</v>
      </c>
      <c r="Z11" s="109">
        <f t="shared" si="0"/>
        <v>26108.690000000006</v>
      </c>
      <c r="AA11" s="119">
        <f t="shared" si="1"/>
        <v>1.1505440085554357</v>
      </c>
      <c r="AC11" s="62"/>
    </row>
    <row r="12" spans="1:37" ht="15.75" customHeight="1" x14ac:dyDescent="0.25">
      <c r="B12" s="118">
        <v>1407</v>
      </c>
      <c r="C12" s="107">
        <f>XTARGETS!I25</f>
        <v>18399.727500000001</v>
      </c>
      <c r="D12" s="108">
        <f>XTARGETS!C25</f>
        <v>45835</v>
      </c>
      <c r="E12" s="107" t="s">
        <v>33</v>
      </c>
      <c r="F12" s="204"/>
      <c r="G12" s="204"/>
      <c r="H12" s="204"/>
      <c r="I12" s="204"/>
      <c r="J12" s="204"/>
      <c r="K12" s="204"/>
      <c r="L12" s="204">
        <v>8972.74</v>
      </c>
      <c r="M12" s="204">
        <v>670</v>
      </c>
      <c r="N12" s="204">
        <v>5383.84</v>
      </c>
      <c r="O12" s="204">
        <v>720</v>
      </c>
      <c r="P12" s="204">
        <v>556</v>
      </c>
      <c r="Q12" s="204">
        <v>556</v>
      </c>
      <c r="R12" s="204">
        <v>670</v>
      </c>
      <c r="S12" s="205">
        <f t="shared" si="3"/>
        <v>21093.212000000003</v>
      </c>
      <c r="T12" s="253">
        <f t="shared" si="2"/>
        <v>17806.580000000002</v>
      </c>
      <c r="U12" s="257">
        <v>278</v>
      </c>
      <c r="V12" s="110">
        <v>278</v>
      </c>
      <c r="W12" s="258">
        <v>5513.7000000000007</v>
      </c>
      <c r="X12" s="138"/>
      <c r="Y12" s="109">
        <v>3564.6320000000001</v>
      </c>
      <c r="Z12" s="109">
        <f t="shared" si="0"/>
        <v>23598.280000000002</v>
      </c>
      <c r="AA12" s="119">
        <f t="shared" si="1"/>
        <v>1.282534211444164</v>
      </c>
      <c r="AC12" s="62"/>
    </row>
    <row r="13" spans="1:37" ht="15.75" customHeight="1" x14ac:dyDescent="0.25">
      <c r="B13" s="118">
        <v>1408</v>
      </c>
      <c r="C13" s="107">
        <f>XTARGETS!I26</f>
        <v>43718.934000000001</v>
      </c>
      <c r="D13" s="108">
        <f>XTARGETS!C26</f>
        <v>45866</v>
      </c>
      <c r="E13" s="111" t="s">
        <v>34</v>
      </c>
      <c r="F13" s="204"/>
      <c r="G13" s="204"/>
      <c r="H13" s="204"/>
      <c r="I13" s="204"/>
      <c r="J13" s="204"/>
      <c r="K13" s="204"/>
      <c r="L13" s="204">
        <v>233.86</v>
      </c>
      <c r="M13" s="204">
        <v>6987.04</v>
      </c>
      <c r="N13" s="204">
        <v>4904.07</v>
      </c>
      <c r="O13" s="204">
        <v>7911.94</v>
      </c>
      <c r="P13" s="204">
        <v>4726.33</v>
      </c>
      <c r="Q13" s="204">
        <v>9468.9500000000007</v>
      </c>
      <c r="R13" s="204">
        <v>5038.09</v>
      </c>
      <c r="S13" s="205">
        <f t="shared" si="3"/>
        <v>47249.213449999996</v>
      </c>
      <c r="T13" s="253">
        <f t="shared" si="2"/>
        <v>40887.299999999996</v>
      </c>
      <c r="U13" s="257">
        <v>1617.02</v>
      </c>
      <c r="V13" s="110">
        <v>1974.05</v>
      </c>
      <c r="W13" s="258">
        <v>46829.96</v>
      </c>
      <c r="X13" s="138"/>
      <c r="Y13" s="109">
        <v>7978.9334500000004</v>
      </c>
      <c r="Z13" s="109">
        <f t="shared" si="0"/>
        <v>89691.31</v>
      </c>
      <c r="AA13" s="119">
        <f t="shared" si="1"/>
        <v>2.051543845968431</v>
      </c>
      <c r="AC13" s="62"/>
    </row>
    <row r="14" spans="1:37" ht="15.75" customHeight="1" x14ac:dyDescent="0.25">
      <c r="B14" s="118">
        <v>1409</v>
      </c>
      <c r="C14" s="107">
        <f>XTARGETS!I27</f>
        <v>33219.774000000005</v>
      </c>
      <c r="D14" s="108">
        <f>XTARGETS!C27</f>
        <v>45896</v>
      </c>
      <c r="E14" s="111" t="s">
        <v>35</v>
      </c>
      <c r="F14" s="204"/>
      <c r="G14" s="204"/>
      <c r="H14" s="204"/>
      <c r="I14" s="204"/>
      <c r="J14" s="204"/>
      <c r="K14" s="204"/>
      <c r="L14" s="204"/>
      <c r="M14" s="204">
        <v>249</v>
      </c>
      <c r="N14" s="204">
        <v>1851.41</v>
      </c>
      <c r="O14" s="204">
        <v>1967.68</v>
      </c>
      <c r="P14" s="204">
        <v>2750.2</v>
      </c>
      <c r="Q14" s="204">
        <v>3498.7699999999995</v>
      </c>
      <c r="R14" s="204">
        <v>4206.8100000000004</v>
      </c>
      <c r="S14" s="205">
        <f t="shared" si="3"/>
        <v>24214.921150000002</v>
      </c>
      <c r="T14" s="253">
        <f t="shared" si="2"/>
        <v>17055.379999999997</v>
      </c>
      <c r="U14" s="257">
        <v>2531.5100000000002</v>
      </c>
      <c r="V14" s="110">
        <v>1599.04</v>
      </c>
      <c r="W14" s="258">
        <v>45364.960000000028</v>
      </c>
      <c r="X14" s="138"/>
      <c r="Y14" s="109">
        <v>9691.0511500000011</v>
      </c>
      <c r="Z14" s="109">
        <f t="shared" si="0"/>
        <v>64019.380000000026</v>
      </c>
      <c r="AA14" s="119">
        <f t="shared" si="1"/>
        <v>1.9271467650562588</v>
      </c>
      <c r="AC14" s="62"/>
    </row>
    <row r="15" spans="1:37" ht="15.75" customHeight="1" x14ac:dyDescent="0.25">
      <c r="B15" s="118">
        <v>1410</v>
      </c>
      <c r="C15" s="107">
        <f>XTARGETS!I28</f>
        <v>42988.931999999993</v>
      </c>
      <c r="D15" s="108">
        <f>XTARGETS!C28</f>
        <v>45930</v>
      </c>
      <c r="E15" s="111" t="s">
        <v>36</v>
      </c>
      <c r="F15" s="204"/>
      <c r="G15" s="204"/>
      <c r="H15" s="204"/>
      <c r="I15" s="204"/>
      <c r="J15" s="204"/>
      <c r="K15" s="204"/>
      <c r="L15" s="204"/>
      <c r="M15" s="204"/>
      <c r="N15" s="204"/>
      <c r="O15" s="204">
        <v>2800</v>
      </c>
      <c r="P15" s="204">
        <v>2628</v>
      </c>
      <c r="Q15" s="204">
        <v>2944</v>
      </c>
      <c r="R15" s="204">
        <v>5454.38</v>
      </c>
      <c r="S15" s="205">
        <f t="shared" si="3"/>
        <v>13826.380000000001</v>
      </c>
      <c r="T15" s="253">
        <f t="shared" si="2"/>
        <v>15569.380000000001</v>
      </c>
      <c r="U15" s="257">
        <v>1743</v>
      </c>
      <c r="V15" s="110">
        <v>1347.38</v>
      </c>
      <c r="W15" s="258">
        <v>18898.98</v>
      </c>
      <c r="X15" s="138"/>
      <c r="Y15" s="109"/>
      <c r="Z15" s="109">
        <f t="shared" si="0"/>
        <v>35815.740000000005</v>
      </c>
      <c r="AA15" s="119">
        <f t="shared" si="1"/>
        <v>0.83313863205533956</v>
      </c>
      <c r="AC15" s="62"/>
    </row>
    <row r="16" spans="1:37" ht="15.75" customHeight="1" x14ac:dyDescent="0.25">
      <c r="B16" s="118">
        <v>1411</v>
      </c>
      <c r="C16" s="107">
        <f>XTARGETS!I29</f>
        <v>42000.21</v>
      </c>
      <c r="D16" s="108">
        <v>45959</v>
      </c>
      <c r="E16" s="111" t="s">
        <v>107</v>
      </c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>
        <v>1697.13</v>
      </c>
      <c r="Q16" s="204">
        <v>4527.08</v>
      </c>
      <c r="R16" s="204">
        <v>2356.9499999999998</v>
      </c>
      <c r="S16" s="205">
        <f t="shared" si="3"/>
        <v>8581.16</v>
      </c>
      <c r="T16" s="253">
        <f t="shared" si="2"/>
        <v>9438.66</v>
      </c>
      <c r="U16" s="257">
        <v>857.5</v>
      </c>
      <c r="V16" s="110">
        <v>1926.95</v>
      </c>
      <c r="W16" s="259">
        <v>29827.720000000012</v>
      </c>
      <c r="X16" s="138"/>
      <c r="Y16" s="109"/>
      <c r="Z16" s="109">
        <f t="shared" si="0"/>
        <v>41193.330000000016</v>
      </c>
      <c r="AA16" s="119">
        <f t="shared" si="1"/>
        <v>0.98078866748523441</v>
      </c>
      <c r="AC16" s="62"/>
    </row>
    <row r="17" spans="2:29" ht="15.75" customHeight="1" x14ac:dyDescent="0.25">
      <c r="B17" s="149">
        <v>1412</v>
      </c>
      <c r="C17" s="158">
        <f>XTARGETS!I30</f>
        <v>31405.478999999999</v>
      </c>
      <c r="D17" s="159">
        <v>45986</v>
      </c>
      <c r="E17" s="162" t="s">
        <v>120</v>
      </c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>
        <v>7407.91</v>
      </c>
      <c r="R17" s="195">
        <v>1439.46</v>
      </c>
      <c r="S17" s="206">
        <f t="shared" si="3"/>
        <v>8847.369999999999</v>
      </c>
      <c r="T17" s="253">
        <f t="shared" si="2"/>
        <v>11475.369999999999</v>
      </c>
      <c r="U17" s="257">
        <v>2628</v>
      </c>
      <c r="V17" s="110">
        <v>1149.46</v>
      </c>
      <c r="W17" s="259">
        <v>18172.38</v>
      </c>
      <c r="X17" s="138"/>
      <c r="Y17" s="109"/>
      <c r="Z17" s="109">
        <f t="shared" si="0"/>
        <v>30797.21</v>
      </c>
      <c r="AA17" s="119">
        <f t="shared" si="1"/>
        <v>0.98063175536981939</v>
      </c>
      <c r="AC17" s="62"/>
    </row>
    <row r="18" spans="2:29" ht="15.75" customHeight="1" x14ac:dyDescent="0.25">
      <c r="B18" s="149">
        <v>1413</v>
      </c>
      <c r="C18" s="158">
        <v>45769.06</v>
      </c>
      <c r="D18" s="159">
        <v>46020</v>
      </c>
      <c r="E18" s="162" t="s">
        <v>120</v>
      </c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206"/>
      <c r="T18" s="253">
        <f t="shared" si="2"/>
        <v>448.4</v>
      </c>
      <c r="U18" s="257">
        <v>448.4</v>
      </c>
      <c r="V18" s="110">
        <v>643.92000000000007</v>
      </c>
      <c r="W18" s="259">
        <v>15660.080000000002</v>
      </c>
      <c r="X18" s="138"/>
      <c r="Y18" s="109"/>
      <c r="Z18" s="109">
        <f t="shared" si="0"/>
        <v>16752.400000000001</v>
      </c>
      <c r="AA18" s="119">
        <f t="shared" si="1"/>
        <v>0.36602018918457147</v>
      </c>
      <c r="AC18" s="62"/>
    </row>
    <row r="19" spans="2:29" ht="15.75" customHeight="1" x14ac:dyDescent="0.25">
      <c r="B19" s="149">
        <v>1414</v>
      </c>
      <c r="C19" s="158">
        <v>45766.85</v>
      </c>
      <c r="D19" s="159">
        <v>46052</v>
      </c>
      <c r="E19" s="162" t="s">
        <v>120</v>
      </c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206"/>
      <c r="T19" s="253">
        <f t="shared" si="2"/>
        <v>0</v>
      </c>
      <c r="U19" s="257">
        <v>0</v>
      </c>
      <c r="V19" s="110">
        <v>0</v>
      </c>
      <c r="W19" s="259">
        <v>0</v>
      </c>
      <c r="X19" s="138"/>
      <c r="Y19" s="109"/>
      <c r="Z19" s="109">
        <f t="shared" si="0"/>
        <v>0</v>
      </c>
      <c r="AA19" s="119">
        <f t="shared" si="1"/>
        <v>0</v>
      </c>
      <c r="AB19" s="62"/>
      <c r="AC19" s="62"/>
    </row>
    <row r="20" spans="2:29" ht="15.75" customHeight="1" x14ac:dyDescent="0.25">
      <c r="B20" s="118">
        <v>1501</v>
      </c>
      <c r="C20" s="107">
        <f>XTARGETS!I33</f>
        <v>171155.649</v>
      </c>
      <c r="D20" s="108">
        <f>XTARGETS!C33</f>
        <v>45719</v>
      </c>
      <c r="E20" s="107" t="s">
        <v>38</v>
      </c>
      <c r="F20" s="204"/>
      <c r="G20" s="204"/>
      <c r="H20" s="204">
        <v>23153.11</v>
      </c>
      <c r="I20" s="204">
        <v>19682.18</v>
      </c>
      <c r="J20" s="204">
        <v>22891.520000000004</v>
      </c>
      <c r="K20" s="204">
        <v>15839.060000000001</v>
      </c>
      <c r="L20" s="204">
        <v>13304.880000000003</v>
      </c>
      <c r="M20" s="204">
        <v>11467.46</v>
      </c>
      <c r="N20" s="204">
        <v>12383.05</v>
      </c>
      <c r="O20" s="204">
        <v>11349.23</v>
      </c>
      <c r="P20" s="204">
        <v>10096.540000000006</v>
      </c>
      <c r="Q20" s="204">
        <v>9154.5399999999991</v>
      </c>
      <c r="R20" s="204">
        <v>13146.199999999997</v>
      </c>
      <c r="S20" s="205">
        <f t="shared" si="3"/>
        <v>162467.77000000002</v>
      </c>
      <c r="T20" s="253">
        <f t="shared" si="2"/>
        <v>169949.47000000003</v>
      </c>
      <c r="U20" s="257">
        <v>7481.7</v>
      </c>
      <c r="V20" s="110">
        <v>4380.92</v>
      </c>
      <c r="W20" s="259">
        <v>62497.07</v>
      </c>
      <c r="X20" s="138"/>
      <c r="Y20" s="109"/>
      <c r="Z20" s="109">
        <f t="shared" si="0"/>
        <v>236827.46000000005</v>
      </c>
      <c r="AA20" s="119">
        <f t="shared" si="1"/>
        <v>1.3836964271041972</v>
      </c>
      <c r="AC20" s="62"/>
    </row>
    <row r="21" spans="2:29" ht="15.75" customHeight="1" x14ac:dyDescent="0.25">
      <c r="B21" s="118" t="s">
        <v>39</v>
      </c>
      <c r="C21" s="107">
        <f>XTARGETS!I34</f>
        <v>170606.64599999998</v>
      </c>
      <c r="D21" s="108">
        <f>XTARGETS!C34</f>
        <v>45747</v>
      </c>
      <c r="E21" s="107" t="s">
        <v>40</v>
      </c>
      <c r="F21" s="204"/>
      <c r="G21" s="204"/>
      <c r="H21" s="204"/>
      <c r="I21" s="204">
        <v>25229.39</v>
      </c>
      <c r="J21" s="204">
        <v>14172.75</v>
      </c>
      <c r="K21" s="204">
        <v>8458.2900000000009</v>
      </c>
      <c r="L21" s="204">
        <v>11322.47</v>
      </c>
      <c r="M21" s="204">
        <v>12316.11</v>
      </c>
      <c r="N21" s="204">
        <v>6820.4299999999985</v>
      </c>
      <c r="O21" s="204">
        <v>12056.310000000001</v>
      </c>
      <c r="P21" s="204">
        <v>7129.5099999999984</v>
      </c>
      <c r="Q21" s="204">
        <v>7416.9099999999989</v>
      </c>
      <c r="R21" s="204">
        <v>11992.789999999999</v>
      </c>
      <c r="S21" s="205">
        <f t="shared" si="3"/>
        <v>134050.80294999998</v>
      </c>
      <c r="T21" s="253">
        <f t="shared" si="2"/>
        <v>117346.45</v>
      </c>
      <c r="U21" s="257">
        <v>431.49</v>
      </c>
      <c r="V21" s="110">
        <v>5130.7299999999996</v>
      </c>
      <c r="W21" s="259">
        <v>74200.890000000029</v>
      </c>
      <c r="X21" s="138"/>
      <c r="Y21" s="109">
        <v>17135.842950000002</v>
      </c>
      <c r="Z21" s="109">
        <f t="shared" si="0"/>
        <v>196678.07</v>
      </c>
      <c r="AA21" s="119">
        <f t="shared" si="1"/>
        <v>1.1528159928775579</v>
      </c>
      <c r="AB21" s="62"/>
      <c r="AC21" s="62"/>
    </row>
    <row r="22" spans="2:29" ht="15.75" customHeight="1" x14ac:dyDescent="0.25">
      <c r="B22" s="118" t="s">
        <v>41</v>
      </c>
      <c r="C22" s="107">
        <f>XTARGETS!I35</f>
        <v>170939.05499999999</v>
      </c>
      <c r="D22" s="108">
        <f>XTARGETS!C35</f>
        <v>45747</v>
      </c>
      <c r="E22" s="107" t="s">
        <v>42</v>
      </c>
      <c r="F22" s="204"/>
      <c r="G22" s="204"/>
      <c r="H22" s="204">
        <v>135</v>
      </c>
      <c r="I22" s="204">
        <v>18655.580000000002</v>
      </c>
      <c r="J22" s="204">
        <v>28250.15</v>
      </c>
      <c r="K22" s="204">
        <v>25409.94</v>
      </c>
      <c r="L22" s="204">
        <v>23851.32</v>
      </c>
      <c r="M22" s="204">
        <v>21148.02</v>
      </c>
      <c r="N22" s="204">
        <v>16184.52</v>
      </c>
      <c r="O22" s="204">
        <v>18522.43</v>
      </c>
      <c r="P22" s="204">
        <v>7185.8000000000011</v>
      </c>
      <c r="Q22" s="204">
        <v>7518.0199999999995</v>
      </c>
      <c r="R22" s="204">
        <v>12746.480000000001</v>
      </c>
      <c r="S22" s="205">
        <f t="shared" si="3"/>
        <v>193807.11844999998</v>
      </c>
      <c r="T22" s="253">
        <f t="shared" si="2"/>
        <v>182639.61</v>
      </c>
      <c r="U22" s="257">
        <v>3032.35</v>
      </c>
      <c r="V22" s="110">
        <v>3681</v>
      </c>
      <c r="W22" s="259">
        <v>70132.680000000008</v>
      </c>
      <c r="X22" s="138"/>
      <c r="Y22" s="109">
        <v>14199.85845</v>
      </c>
      <c r="Z22" s="109">
        <f t="shared" si="0"/>
        <v>256453.28999999998</v>
      </c>
      <c r="AA22" s="119">
        <f t="shared" si="1"/>
        <v>1.5002615405824022</v>
      </c>
      <c r="AC22" s="62"/>
    </row>
    <row r="23" spans="2:29" ht="15.75" customHeight="1" x14ac:dyDescent="0.25">
      <c r="B23" s="118" t="s">
        <v>43</v>
      </c>
      <c r="C23" s="107">
        <f>XTARGETS!I36</f>
        <v>170821.31849999999</v>
      </c>
      <c r="D23" s="108">
        <f>XTARGETS!C36</f>
        <v>45776</v>
      </c>
      <c r="E23" s="107" t="s">
        <v>44</v>
      </c>
      <c r="F23" s="204"/>
      <c r="G23" s="204"/>
      <c r="H23" s="204"/>
      <c r="I23" s="204"/>
      <c r="J23" s="204">
        <v>11018.63</v>
      </c>
      <c r="K23" s="204">
        <v>11517.73</v>
      </c>
      <c r="L23" s="204">
        <v>11965.250000000002</v>
      </c>
      <c r="M23" s="204">
        <v>13281.08</v>
      </c>
      <c r="N23" s="204">
        <v>11359.180000000002</v>
      </c>
      <c r="O23" s="204">
        <v>12143.420000000002</v>
      </c>
      <c r="P23" s="204">
        <v>7566.9500000000007</v>
      </c>
      <c r="Q23" s="204">
        <v>6674.2000000000016</v>
      </c>
      <c r="R23" s="204">
        <v>8441.1600000000035</v>
      </c>
      <c r="S23" s="205">
        <f t="shared" si="3"/>
        <v>117466.171</v>
      </c>
      <c r="T23" s="253">
        <f t="shared" si="2"/>
        <v>96931.23000000001</v>
      </c>
      <c r="U23" s="257">
        <v>2963.63</v>
      </c>
      <c r="V23" s="110">
        <v>3247.6599999999994</v>
      </c>
      <c r="W23" s="259">
        <v>61020.450000000004</v>
      </c>
      <c r="X23" s="138"/>
      <c r="Y23" s="109">
        <v>23498.571000000004</v>
      </c>
      <c r="Z23" s="109">
        <f t="shared" si="0"/>
        <v>161199.34000000003</v>
      </c>
      <c r="AA23" s="119">
        <f t="shared" si="1"/>
        <v>0.94367226184359432</v>
      </c>
      <c r="AB23" s="62"/>
      <c r="AC23" s="62"/>
    </row>
    <row r="24" spans="2:29" ht="15.75" customHeight="1" x14ac:dyDescent="0.25">
      <c r="B24" s="118" t="s">
        <v>45</v>
      </c>
      <c r="C24" s="107">
        <f>XTARGETS!I37</f>
        <v>170908.46849999999</v>
      </c>
      <c r="D24" s="108">
        <f>XTARGETS!C37</f>
        <v>45776</v>
      </c>
      <c r="E24" s="107" t="s">
        <v>46</v>
      </c>
      <c r="F24" s="204"/>
      <c r="G24" s="204"/>
      <c r="H24" s="204"/>
      <c r="I24" s="204"/>
      <c r="J24" s="204">
        <v>8029.12</v>
      </c>
      <c r="K24" s="204">
        <v>6627.9000000000005</v>
      </c>
      <c r="L24" s="204">
        <v>11838.819999999998</v>
      </c>
      <c r="M24" s="204">
        <v>16446.05</v>
      </c>
      <c r="N24" s="204">
        <v>9259.02</v>
      </c>
      <c r="O24" s="204">
        <v>11459.93</v>
      </c>
      <c r="P24" s="204">
        <v>7031.1599999999989</v>
      </c>
      <c r="Q24" s="204">
        <v>6904.3399999999992</v>
      </c>
      <c r="R24" s="204">
        <v>7156.1699999999973</v>
      </c>
      <c r="S24" s="205">
        <f t="shared" si="3"/>
        <v>104382.31079999999</v>
      </c>
      <c r="T24" s="253">
        <f t="shared" si="2"/>
        <v>88008.5</v>
      </c>
      <c r="U24" s="257">
        <v>3255.99</v>
      </c>
      <c r="V24" s="110">
        <v>2560.8800000000006</v>
      </c>
      <c r="W24" s="259">
        <v>60078.779999999984</v>
      </c>
      <c r="X24" s="138"/>
      <c r="Y24" s="109">
        <v>19629.800800000001</v>
      </c>
      <c r="Z24" s="109">
        <f t="shared" si="0"/>
        <v>150648.15999999997</v>
      </c>
      <c r="AA24" s="119">
        <f t="shared" si="1"/>
        <v>0.88145521004419969</v>
      </c>
      <c r="AC24" s="62"/>
    </row>
    <row r="25" spans="2:29" ht="15.75" customHeight="1" x14ac:dyDescent="0.25">
      <c r="B25" s="118" t="s">
        <v>47</v>
      </c>
      <c r="C25" s="107">
        <f>XTARGETS!I38</f>
        <v>170652.42600000001</v>
      </c>
      <c r="D25" s="108">
        <f>XTARGETS!C38</f>
        <v>45806</v>
      </c>
      <c r="E25" s="107" t="s">
        <v>48</v>
      </c>
      <c r="F25" s="204"/>
      <c r="G25" s="204"/>
      <c r="H25" s="204"/>
      <c r="I25" s="204"/>
      <c r="J25" s="204"/>
      <c r="K25" s="204">
        <v>15840.479999999998</v>
      </c>
      <c r="L25" s="204">
        <v>7329.7599999999993</v>
      </c>
      <c r="M25" s="204">
        <v>9113.89</v>
      </c>
      <c r="N25" s="204">
        <v>7572.27</v>
      </c>
      <c r="O25" s="204">
        <v>13538.489999999998</v>
      </c>
      <c r="P25" s="204">
        <v>8060.2500000000009</v>
      </c>
      <c r="Q25" s="204">
        <v>9697.4799999999977</v>
      </c>
      <c r="R25" s="204">
        <v>6153.57</v>
      </c>
      <c r="S25" s="205">
        <f t="shared" si="3"/>
        <v>95194.229550000004</v>
      </c>
      <c r="T25" s="253">
        <f t="shared" si="2"/>
        <v>80121.350000000006</v>
      </c>
      <c r="U25" s="257">
        <v>2815.16</v>
      </c>
      <c r="V25" s="110">
        <v>4425.03</v>
      </c>
      <c r="W25" s="259">
        <v>75149.139999999985</v>
      </c>
      <c r="X25" s="138"/>
      <c r="Y25" s="109">
        <v>17888.039549999998</v>
      </c>
      <c r="Z25" s="109">
        <f t="shared" si="0"/>
        <v>159695.51999999999</v>
      </c>
      <c r="AA25" s="119">
        <f t="shared" si="1"/>
        <v>0.93579402146911161</v>
      </c>
      <c r="AB25" s="62"/>
      <c r="AC25" s="62"/>
    </row>
    <row r="26" spans="2:29" ht="15.75" customHeight="1" x14ac:dyDescent="0.25">
      <c r="B26" s="118" t="s">
        <v>49</v>
      </c>
      <c r="C26" s="107">
        <f>XTARGETS!I39</f>
        <v>170790.97350000002</v>
      </c>
      <c r="D26" s="108">
        <f>XTARGETS!C39</f>
        <v>45806</v>
      </c>
      <c r="E26" s="107" t="s">
        <v>50</v>
      </c>
      <c r="F26" s="204"/>
      <c r="G26" s="204"/>
      <c r="H26" s="204"/>
      <c r="I26" s="204"/>
      <c r="J26" s="204"/>
      <c r="K26" s="204">
        <v>11373.81</v>
      </c>
      <c r="L26" s="204">
        <v>17131.699999999997</v>
      </c>
      <c r="M26" s="204">
        <v>9898.94</v>
      </c>
      <c r="N26" s="204">
        <v>7523.9400000000005</v>
      </c>
      <c r="O26" s="204">
        <v>11413.55</v>
      </c>
      <c r="P26" s="204">
        <v>8175.4500000000007</v>
      </c>
      <c r="Q26" s="204">
        <v>7252.03</v>
      </c>
      <c r="R26" s="204">
        <v>10359.999999999998</v>
      </c>
      <c r="S26" s="205">
        <f t="shared" si="3"/>
        <v>104586.84335</v>
      </c>
      <c r="T26" s="253">
        <f t="shared" si="2"/>
        <v>85253.72</v>
      </c>
      <c r="U26" s="257">
        <v>2124.3000000000002</v>
      </c>
      <c r="V26" s="110">
        <v>3947.22</v>
      </c>
      <c r="W26" s="258">
        <v>75071.819999999992</v>
      </c>
      <c r="X26" s="138"/>
      <c r="Y26" s="109">
        <v>21457.423350000001</v>
      </c>
      <c r="Z26" s="109">
        <f t="shared" si="0"/>
        <v>164272.76</v>
      </c>
      <c r="AA26" s="119">
        <f t="shared" si="1"/>
        <v>0.96183514054388819</v>
      </c>
      <c r="AC26" s="62"/>
    </row>
    <row r="27" spans="2:29" ht="15.75" customHeight="1" x14ac:dyDescent="0.25">
      <c r="B27" s="118" t="s">
        <v>51</v>
      </c>
      <c r="C27" s="107">
        <f>XTARGETS!I40</f>
        <v>170978.33550000002</v>
      </c>
      <c r="D27" s="108">
        <f>XTARGETS!C40</f>
        <v>45835</v>
      </c>
      <c r="E27" s="107" t="s">
        <v>52</v>
      </c>
      <c r="F27" s="207"/>
      <c r="G27" s="207"/>
      <c r="H27" s="207"/>
      <c r="I27" s="204"/>
      <c r="J27" s="204"/>
      <c r="K27" s="204"/>
      <c r="L27" s="204">
        <v>10458.74</v>
      </c>
      <c r="M27" s="204">
        <v>5730.9</v>
      </c>
      <c r="N27" s="204">
        <v>10311.089999999997</v>
      </c>
      <c r="O27" s="204">
        <v>13722.009999999997</v>
      </c>
      <c r="P27" s="204">
        <v>7863.68</v>
      </c>
      <c r="Q27" s="204">
        <v>9239.99</v>
      </c>
      <c r="R27" s="204">
        <v>9083.6</v>
      </c>
      <c r="S27" s="205">
        <f t="shared" si="3"/>
        <v>92640.489950000003</v>
      </c>
      <c r="T27" s="253">
        <f t="shared" si="2"/>
        <v>69492.31</v>
      </c>
      <c r="U27" s="257">
        <v>3082.3</v>
      </c>
      <c r="V27" s="110">
        <v>3581.2999999999997</v>
      </c>
      <c r="W27" s="258">
        <v>65164.159999999996</v>
      </c>
      <c r="X27" s="138"/>
      <c r="Y27" s="109">
        <v>26230.479950000008</v>
      </c>
      <c r="Z27" s="109">
        <f t="shared" si="0"/>
        <v>138237.76999999999</v>
      </c>
      <c r="AA27" s="119">
        <f t="shared" si="1"/>
        <v>0.80851044429544106</v>
      </c>
      <c r="AB27" s="62"/>
      <c r="AC27" s="62"/>
    </row>
    <row r="28" spans="2:29" ht="15.75" customHeight="1" x14ac:dyDescent="0.25">
      <c r="B28" s="118" t="s">
        <v>53</v>
      </c>
      <c r="C28" s="107">
        <f>XTARGETS!I41</f>
        <v>170891.57399999999</v>
      </c>
      <c r="D28" s="108">
        <f>XTARGETS!C41</f>
        <v>45835</v>
      </c>
      <c r="E28" s="107" t="s">
        <v>54</v>
      </c>
      <c r="F28" s="207"/>
      <c r="G28" s="207"/>
      <c r="H28" s="207"/>
      <c r="I28" s="204"/>
      <c r="J28" s="204"/>
      <c r="K28" s="204"/>
      <c r="L28" s="204">
        <v>6792.8600000000006</v>
      </c>
      <c r="M28" s="204">
        <v>2784.94</v>
      </c>
      <c r="N28" s="204">
        <v>5069.26</v>
      </c>
      <c r="O28" s="204">
        <v>11898.59</v>
      </c>
      <c r="P28" s="204">
        <v>8274.619999999999</v>
      </c>
      <c r="Q28" s="204">
        <v>4782.6000000000004</v>
      </c>
      <c r="R28" s="204">
        <v>9120.7099999999991</v>
      </c>
      <c r="S28" s="205">
        <f t="shared" si="3"/>
        <v>71341.608650000009</v>
      </c>
      <c r="T28" s="253">
        <f t="shared" si="2"/>
        <v>51741.66</v>
      </c>
      <c r="U28" s="257">
        <v>3018.08</v>
      </c>
      <c r="V28" s="110">
        <v>3792.17</v>
      </c>
      <c r="W28" s="258">
        <v>55837.439999999988</v>
      </c>
      <c r="X28" s="138"/>
      <c r="Y28" s="109">
        <v>22618.02865</v>
      </c>
      <c r="Z28" s="109">
        <f t="shared" si="0"/>
        <v>111371.26999999999</v>
      </c>
      <c r="AA28" s="119">
        <f t="shared" si="1"/>
        <v>0.65170720470981203</v>
      </c>
      <c r="AC28" s="62"/>
    </row>
    <row r="29" spans="2:29" ht="15.75" customHeight="1" x14ac:dyDescent="0.25">
      <c r="B29" s="118" t="s">
        <v>55</v>
      </c>
      <c r="C29" s="107">
        <f>XTARGETS!I42</f>
        <v>248653.07250000001</v>
      </c>
      <c r="D29" s="108">
        <f>XTARGETS!C42</f>
        <v>45866</v>
      </c>
      <c r="E29" s="107" t="s">
        <v>56</v>
      </c>
      <c r="F29" s="207"/>
      <c r="G29" s="207"/>
      <c r="H29" s="207"/>
      <c r="I29" s="204"/>
      <c r="J29" s="204"/>
      <c r="K29" s="204"/>
      <c r="L29" s="204">
        <v>0</v>
      </c>
      <c r="M29" s="204">
        <v>17549.349999999999</v>
      </c>
      <c r="N29" s="204">
        <v>21405.200000000001</v>
      </c>
      <c r="O29" s="204">
        <v>22918.099999999995</v>
      </c>
      <c r="P29" s="204">
        <v>17574.520000000004</v>
      </c>
      <c r="Q29" s="204">
        <v>16043.510000000004</v>
      </c>
      <c r="R29" s="204">
        <v>19600.370000000003</v>
      </c>
      <c r="S29" s="205">
        <f t="shared" si="3"/>
        <v>158667.64235000004</v>
      </c>
      <c r="T29" s="253">
        <f t="shared" si="2"/>
        <v>119647.56000000001</v>
      </c>
      <c r="U29" s="257">
        <v>4556.51</v>
      </c>
      <c r="V29" s="110">
        <v>7611.6600000000017</v>
      </c>
      <c r="W29" s="258">
        <v>129043.22999999998</v>
      </c>
      <c r="X29" s="138"/>
      <c r="Y29" s="109">
        <v>43576.592350000021</v>
      </c>
      <c r="Z29" s="109">
        <f t="shared" si="0"/>
        <v>256302.45</v>
      </c>
      <c r="AA29" s="119">
        <f t="shared" si="1"/>
        <v>1.0307632534884523</v>
      </c>
      <c r="AB29" s="62"/>
      <c r="AC29" s="62"/>
    </row>
    <row r="30" spans="2:29" ht="15.75" customHeight="1" x14ac:dyDescent="0.25">
      <c r="B30" s="118" t="s">
        <v>57</v>
      </c>
      <c r="C30" s="107">
        <f>XTARGETS!I43</f>
        <v>205543.23299999998</v>
      </c>
      <c r="D30" s="108">
        <f>XTARGETS!C43</f>
        <v>45866</v>
      </c>
      <c r="E30" s="107" t="s">
        <v>58</v>
      </c>
      <c r="F30" s="207"/>
      <c r="G30" s="207"/>
      <c r="H30" s="207"/>
      <c r="I30" s="204"/>
      <c r="J30" s="204"/>
      <c r="K30" s="204"/>
      <c r="L30" s="204">
        <v>103.44</v>
      </c>
      <c r="M30" s="204">
        <v>8971.91</v>
      </c>
      <c r="N30" s="204">
        <v>16912.2</v>
      </c>
      <c r="O30" s="204">
        <v>14667.42</v>
      </c>
      <c r="P30" s="204">
        <v>8382.9299999999985</v>
      </c>
      <c r="Q30" s="204">
        <v>11262.680000000004</v>
      </c>
      <c r="R30" s="204">
        <v>10684.369999999997</v>
      </c>
      <c r="S30" s="205">
        <f t="shared" si="3"/>
        <v>103859.47445000001</v>
      </c>
      <c r="T30" s="253">
        <f t="shared" si="2"/>
        <v>76518.37</v>
      </c>
      <c r="U30" s="257">
        <v>5533.42</v>
      </c>
      <c r="V30" s="110">
        <v>4833.8600000000006</v>
      </c>
      <c r="W30" s="258">
        <v>107626.14</v>
      </c>
      <c r="X30" s="138"/>
      <c r="Y30" s="109">
        <v>32874.524450000019</v>
      </c>
      <c r="Z30" s="109">
        <f t="shared" si="0"/>
        <v>188978.37</v>
      </c>
      <c r="AA30" s="119">
        <f t="shared" si="1"/>
        <v>0.91940934878649117</v>
      </c>
      <c r="AC30" s="62"/>
    </row>
    <row r="31" spans="2:29" ht="15.75" customHeight="1" x14ac:dyDescent="0.25">
      <c r="B31" s="118" t="s">
        <v>59</v>
      </c>
      <c r="C31" s="107">
        <f>XTARGETS!I44</f>
        <v>137858.79449999999</v>
      </c>
      <c r="D31" s="108">
        <f>XTARGETS!C44</f>
        <v>45896</v>
      </c>
      <c r="E31" s="107" t="s">
        <v>60</v>
      </c>
      <c r="F31" s="207"/>
      <c r="G31" s="207"/>
      <c r="H31" s="207"/>
      <c r="I31" s="204"/>
      <c r="J31" s="204"/>
      <c r="K31" s="204"/>
      <c r="L31" s="204"/>
      <c r="M31" s="204">
        <v>712.5</v>
      </c>
      <c r="N31" s="204">
        <v>10153.98</v>
      </c>
      <c r="O31" s="204">
        <v>13167.429999999998</v>
      </c>
      <c r="P31" s="204">
        <v>11054.51</v>
      </c>
      <c r="Q31" s="204">
        <v>8514.619999999999</v>
      </c>
      <c r="R31" s="204">
        <v>8357.75</v>
      </c>
      <c r="S31" s="205">
        <f t="shared" si="3"/>
        <v>83105.61785000001</v>
      </c>
      <c r="T31" s="253">
        <f t="shared" si="2"/>
        <v>53997.139999999992</v>
      </c>
      <c r="U31" s="257">
        <v>2036.35</v>
      </c>
      <c r="V31" s="110">
        <v>2960.32</v>
      </c>
      <c r="W31" s="258">
        <v>61606.029999999992</v>
      </c>
      <c r="X31" s="138"/>
      <c r="Y31" s="109">
        <v>31144.827850000016</v>
      </c>
      <c r="Z31" s="109">
        <f t="shared" si="0"/>
        <v>118563.48999999999</v>
      </c>
      <c r="AA31" s="119">
        <f t="shared" si="1"/>
        <v>0.86003573750965889</v>
      </c>
      <c r="AB31" s="143"/>
      <c r="AC31" s="62"/>
    </row>
    <row r="32" spans="2:29" ht="15.75" customHeight="1" x14ac:dyDescent="0.25">
      <c r="B32" s="118" t="s">
        <v>61</v>
      </c>
      <c r="C32" s="107">
        <f>XTARGETS!I45</f>
        <v>229822.0575</v>
      </c>
      <c r="D32" s="108">
        <f>XTARGETS!C45</f>
        <v>45896</v>
      </c>
      <c r="E32" s="107" t="s">
        <v>62</v>
      </c>
      <c r="F32" s="207"/>
      <c r="G32" s="207"/>
      <c r="H32" s="207"/>
      <c r="I32" s="204"/>
      <c r="J32" s="204"/>
      <c r="K32" s="204"/>
      <c r="L32" s="204"/>
      <c r="M32" s="204">
        <v>1212.72</v>
      </c>
      <c r="N32" s="204">
        <v>16287.509999999998</v>
      </c>
      <c r="O32" s="204">
        <v>21074.49</v>
      </c>
      <c r="P32" s="204">
        <v>15918.389999999998</v>
      </c>
      <c r="Q32" s="204">
        <v>16238.73</v>
      </c>
      <c r="R32" s="204">
        <v>16917.469999999998</v>
      </c>
      <c r="S32" s="205">
        <f t="shared" si="3"/>
        <v>129389.46734999999</v>
      </c>
      <c r="T32" s="253">
        <f t="shared" si="2"/>
        <v>92029.7</v>
      </c>
      <c r="U32" s="257">
        <v>4380.3900000000003</v>
      </c>
      <c r="V32" s="110">
        <v>6817.9500000000007</v>
      </c>
      <c r="W32" s="258">
        <v>118768.99000000003</v>
      </c>
      <c r="X32" s="138"/>
      <c r="Y32" s="109">
        <v>41740.157349999994</v>
      </c>
      <c r="Z32" s="109">
        <f t="shared" si="0"/>
        <v>217616.64000000001</v>
      </c>
      <c r="AA32" s="119">
        <f t="shared" si="1"/>
        <v>0.94689187960124332</v>
      </c>
      <c r="AC32" s="62"/>
    </row>
    <row r="33" spans="2:29" ht="15.75" customHeight="1" x14ac:dyDescent="0.25">
      <c r="B33" s="118" t="s">
        <v>63</v>
      </c>
      <c r="C33" s="107">
        <f>XTARGETS!I46</f>
        <v>286789.8075</v>
      </c>
      <c r="D33" s="108">
        <f>XTARGETS!C46</f>
        <v>45930</v>
      </c>
      <c r="E33" s="107" t="s">
        <v>64</v>
      </c>
      <c r="F33" s="207"/>
      <c r="G33" s="207"/>
      <c r="H33" s="207"/>
      <c r="I33" s="204"/>
      <c r="J33" s="204"/>
      <c r="K33" s="204"/>
      <c r="L33" s="204"/>
      <c r="M33" s="204"/>
      <c r="N33" s="204"/>
      <c r="O33" s="204">
        <v>12208.460000000001</v>
      </c>
      <c r="P33" s="204">
        <v>9388.6099999999988</v>
      </c>
      <c r="Q33" s="204">
        <v>14546.22</v>
      </c>
      <c r="R33" s="204">
        <v>16701.29</v>
      </c>
      <c r="S33" s="205">
        <f t="shared" si="3"/>
        <v>114952.16540000001</v>
      </c>
      <c r="T33" s="253">
        <f t="shared" si="2"/>
        <v>55694.55</v>
      </c>
      <c r="U33" s="257">
        <v>2849.97</v>
      </c>
      <c r="V33" s="110">
        <v>4678.58</v>
      </c>
      <c r="W33" s="258">
        <v>68130.760000000009</v>
      </c>
      <c r="X33" s="138"/>
      <c r="Y33" s="109">
        <v>62107.585400000011</v>
      </c>
      <c r="Z33" s="109">
        <f t="shared" si="0"/>
        <v>128503.89000000001</v>
      </c>
      <c r="AA33" s="119">
        <f t="shared" si="1"/>
        <v>0.44807690733569749</v>
      </c>
      <c r="AB33" s="143"/>
      <c r="AC33" s="62"/>
    </row>
    <row r="34" spans="2:29" ht="15.75" customHeight="1" x14ac:dyDescent="0.25">
      <c r="B34" s="149" t="s">
        <v>65</v>
      </c>
      <c r="C34" s="158">
        <f>XTARGETS!I47</f>
        <v>241692.64350000001</v>
      </c>
      <c r="D34" s="159">
        <f>XTARGETS!C47</f>
        <v>45930</v>
      </c>
      <c r="E34" s="158" t="s">
        <v>120</v>
      </c>
      <c r="F34" s="208"/>
      <c r="G34" s="208"/>
      <c r="H34" s="208"/>
      <c r="I34" s="195"/>
      <c r="J34" s="195"/>
      <c r="K34" s="195"/>
      <c r="L34" s="195"/>
      <c r="M34" s="195"/>
      <c r="N34" s="195"/>
      <c r="O34" s="195">
        <v>9835.91</v>
      </c>
      <c r="P34" s="195">
        <v>13371.56</v>
      </c>
      <c r="Q34" s="195">
        <v>12110.020000000002</v>
      </c>
      <c r="R34" s="195">
        <v>7628.2400000000007</v>
      </c>
      <c r="S34" s="206">
        <f t="shared" si="3"/>
        <v>95159.704400000017</v>
      </c>
      <c r="T34" s="253">
        <f t="shared" si="2"/>
        <v>44265.73</v>
      </c>
      <c r="U34" s="257">
        <v>1320</v>
      </c>
      <c r="V34" s="110">
        <v>3999.58</v>
      </c>
      <c r="W34" s="258">
        <v>61356.809999999983</v>
      </c>
      <c r="X34" s="138"/>
      <c r="Y34" s="109">
        <v>52213.974400000014</v>
      </c>
      <c r="Z34" s="109">
        <f t="shared" si="0"/>
        <v>109622.12</v>
      </c>
      <c r="AA34" s="119">
        <f t="shared" si="1"/>
        <v>0.45356001909094096</v>
      </c>
      <c r="AC34" s="62"/>
    </row>
    <row r="35" spans="2:29" ht="15.75" customHeight="1" x14ac:dyDescent="0.25">
      <c r="B35" s="118" t="s">
        <v>66</v>
      </c>
      <c r="C35" s="107">
        <f>XTARGETS!I48</f>
        <v>312842.40750000003</v>
      </c>
      <c r="D35" s="108">
        <v>45959</v>
      </c>
      <c r="E35" s="107" t="s">
        <v>108</v>
      </c>
      <c r="F35" s="207"/>
      <c r="G35" s="207"/>
      <c r="H35" s="207"/>
      <c r="I35" s="204"/>
      <c r="J35" s="204"/>
      <c r="K35" s="204"/>
      <c r="L35" s="204"/>
      <c r="M35" s="204"/>
      <c r="N35" s="204"/>
      <c r="O35" s="204"/>
      <c r="P35" s="204">
        <v>18394.560000000005</v>
      </c>
      <c r="Q35" s="204">
        <v>18284.179999999997</v>
      </c>
      <c r="R35" s="204">
        <v>17400.859999999997</v>
      </c>
      <c r="S35" s="205">
        <f t="shared" si="3"/>
        <v>54079.600000000006</v>
      </c>
      <c r="T35" s="253">
        <f t="shared" si="2"/>
        <v>64666.390000000007</v>
      </c>
      <c r="U35" s="257">
        <v>10586.79</v>
      </c>
      <c r="V35" s="110">
        <v>11081.7</v>
      </c>
      <c r="W35" s="258">
        <v>229527.24999999997</v>
      </c>
      <c r="X35" s="138"/>
      <c r="Y35" s="109"/>
      <c r="Z35" s="109">
        <f t="shared" si="0"/>
        <v>305275.33999999997</v>
      </c>
      <c r="AA35" s="119">
        <f t="shared" si="1"/>
        <v>0.97581188701215305</v>
      </c>
      <c r="AB35" s="143"/>
      <c r="AC35" s="62"/>
    </row>
    <row r="36" spans="2:29" ht="15.75" customHeight="1" x14ac:dyDescent="0.25">
      <c r="B36" s="118" t="s">
        <v>67</v>
      </c>
      <c r="C36" s="107">
        <f>XTARGETS!I49</f>
        <v>254298.22950000002</v>
      </c>
      <c r="D36" s="108">
        <v>45959</v>
      </c>
      <c r="E36" s="107" t="s">
        <v>109</v>
      </c>
      <c r="F36" s="207"/>
      <c r="G36" s="207"/>
      <c r="H36" s="207"/>
      <c r="I36" s="204"/>
      <c r="J36" s="204"/>
      <c r="K36" s="204"/>
      <c r="L36" s="204"/>
      <c r="M36" s="204"/>
      <c r="N36" s="204"/>
      <c r="O36" s="204"/>
      <c r="P36" s="204">
        <v>9079.130000000001</v>
      </c>
      <c r="Q36" s="204">
        <v>11539.59</v>
      </c>
      <c r="R36" s="204">
        <v>9496.9399999999987</v>
      </c>
      <c r="S36" s="205">
        <f t="shared" si="3"/>
        <v>30115.66</v>
      </c>
      <c r="T36" s="253">
        <f t="shared" si="2"/>
        <v>35478.49</v>
      </c>
      <c r="U36" s="257">
        <v>5362.83</v>
      </c>
      <c r="V36" s="110">
        <v>5721.2699999999995</v>
      </c>
      <c r="W36" s="258">
        <v>97777.17</v>
      </c>
      <c r="X36" s="138"/>
      <c r="Y36" s="109"/>
      <c r="Z36" s="109">
        <f t="shared" si="0"/>
        <v>138976.93</v>
      </c>
      <c r="AA36" s="119">
        <f t="shared" si="1"/>
        <v>0.54651159102938218</v>
      </c>
      <c r="AC36" s="62"/>
    </row>
    <row r="37" spans="2:29" ht="15.75" customHeight="1" x14ac:dyDescent="0.25">
      <c r="B37" s="149" t="s">
        <v>103</v>
      </c>
      <c r="C37" s="158">
        <f>XTARGETS!I50</f>
        <v>123039.82949999999</v>
      </c>
      <c r="D37" s="159">
        <v>45986</v>
      </c>
      <c r="E37" s="158" t="s">
        <v>120</v>
      </c>
      <c r="F37" s="208"/>
      <c r="G37" s="208"/>
      <c r="H37" s="208"/>
      <c r="I37" s="195"/>
      <c r="J37" s="195"/>
      <c r="K37" s="195"/>
      <c r="L37" s="195"/>
      <c r="M37" s="195"/>
      <c r="N37" s="195"/>
      <c r="O37" s="195"/>
      <c r="P37" s="195"/>
      <c r="Q37" s="195">
        <v>6432</v>
      </c>
      <c r="R37" s="195">
        <v>11820.450000000003</v>
      </c>
      <c r="S37" s="206">
        <f t="shared" si="3"/>
        <v>18252.450000000004</v>
      </c>
      <c r="T37" s="253">
        <f t="shared" si="2"/>
        <v>25680.500000000004</v>
      </c>
      <c r="U37" s="257">
        <v>7428.05</v>
      </c>
      <c r="V37" s="110">
        <v>5787.8600000000006</v>
      </c>
      <c r="W37" s="258">
        <v>48579.59</v>
      </c>
      <c r="X37" s="138"/>
      <c r="Y37" s="109"/>
      <c r="Z37" s="109">
        <f t="shared" si="0"/>
        <v>80047.95</v>
      </c>
      <c r="AA37" s="119">
        <f t="shared" si="1"/>
        <v>0.65058567071567663</v>
      </c>
      <c r="AB37" s="143"/>
      <c r="AC37" s="62"/>
    </row>
    <row r="38" spans="2:29" ht="15.75" customHeight="1" x14ac:dyDescent="0.25">
      <c r="B38" s="149" t="s">
        <v>104</v>
      </c>
      <c r="C38" s="158">
        <f>XTARGETS!I51</f>
        <v>123250.59600000001</v>
      </c>
      <c r="D38" s="159">
        <v>45986</v>
      </c>
      <c r="E38" s="158" t="s">
        <v>120</v>
      </c>
      <c r="F38" s="208"/>
      <c r="G38" s="208"/>
      <c r="H38" s="208"/>
      <c r="I38" s="195"/>
      <c r="J38" s="195"/>
      <c r="K38" s="195"/>
      <c r="L38" s="195"/>
      <c r="M38" s="195"/>
      <c r="N38" s="195"/>
      <c r="O38" s="195"/>
      <c r="P38" s="195"/>
      <c r="Q38" s="195">
        <v>3724.7</v>
      </c>
      <c r="R38" s="195">
        <v>3717.0800000000004</v>
      </c>
      <c r="S38" s="206">
        <f t="shared" si="3"/>
        <v>7441.7800000000007</v>
      </c>
      <c r="T38" s="253">
        <f t="shared" si="2"/>
        <v>8963.5500000000011</v>
      </c>
      <c r="U38" s="257">
        <v>1521.77</v>
      </c>
      <c r="V38" s="110">
        <v>3385.87</v>
      </c>
      <c r="W38" s="258">
        <v>53849.599999999984</v>
      </c>
      <c r="X38" s="138"/>
      <c r="Y38" s="109"/>
      <c r="Z38" s="109">
        <f t="shared" si="0"/>
        <v>66199.01999999999</v>
      </c>
      <c r="AA38" s="119">
        <f t="shared" si="1"/>
        <v>0.53710912683943524</v>
      </c>
      <c r="AC38" s="62"/>
    </row>
    <row r="39" spans="2:29" ht="15.75" customHeight="1" x14ac:dyDescent="0.25">
      <c r="B39" s="149" t="s">
        <v>119</v>
      </c>
      <c r="C39" s="158">
        <f>XTARGETS!I52</f>
        <v>283168.935</v>
      </c>
      <c r="D39" s="159">
        <v>46022</v>
      </c>
      <c r="E39" s="158" t="s">
        <v>120</v>
      </c>
      <c r="F39" s="208"/>
      <c r="G39" s="208"/>
      <c r="H39" s="208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206">
        <f t="shared" si="3"/>
        <v>0</v>
      </c>
      <c r="T39" s="253">
        <f t="shared" si="2"/>
        <v>3109.2</v>
      </c>
      <c r="U39" s="257">
        <v>3109.2</v>
      </c>
      <c r="V39" s="110">
        <v>3384.0600000000004</v>
      </c>
      <c r="W39" s="258">
        <v>44371.200000000004</v>
      </c>
      <c r="X39" s="138"/>
      <c r="Y39" s="109"/>
      <c r="Z39" s="109">
        <f t="shared" ref="Z39" si="4">SUM(T39+V39+W39)</f>
        <v>50864.460000000006</v>
      </c>
      <c r="AA39" s="119">
        <f>Z39/C39</f>
        <v>0.17962584772937754</v>
      </c>
      <c r="AB39" s="143"/>
      <c r="AC39" s="62"/>
    </row>
    <row r="40" spans="2:29" ht="15.75" customHeight="1" x14ac:dyDescent="0.25">
      <c r="B40" s="149" t="s">
        <v>118</v>
      </c>
      <c r="C40" s="158">
        <f>XTARGETS!I53</f>
        <v>363031.73550000001</v>
      </c>
      <c r="D40" s="159">
        <v>46022</v>
      </c>
      <c r="E40" s="158" t="s">
        <v>120</v>
      </c>
      <c r="F40" s="208"/>
      <c r="G40" s="208"/>
      <c r="H40" s="208"/>
      <c r="I40" s="195"/>
      <c r="J40" s="195"/>
      <c r="K40" s="195"/>
      <c r="L40" s="195"/>
      <c r="M40" s="195"/>
      <c r="N40" s="195"/>
      <c r="O40" s="195"/>
      <c r="P40" s="195"/>
      <c r="Q40" s="195"/>
      <c r="R40" s="195">
        <v>102.5</v>
      </c>
      <c r="S40" s="206">
        <f t="shared" si="3"/>
        <v>102.5</v>
      </c>
      <c r="T40" s="253">
        <f t="shared" si="2"/>
        <v>13565.29</v>
      </c>
      <c r="U40" s="257">
        <v>13462.79</v>
      </c>
      <c r="V40" s="110">
        <v>9831.8900000000012</v>
      </c>
      <c r="W40" s="258">
        <v>81424.929999999935</v>
      </c>
      <c r="X40" s="138"/>
      <c r="Y40" s="109"/>
      <c r="Z40" s="109">
        <f t="shared" si="0"/>
        <v>104822.10999999993</v>
      </c>
      <c r="AA40" s="119">
        <f>Z40/C40</f>
        <v>0.28874089989854324</v>
      </c>
      <c r="AC40" s="62"/>
    </row>
    <row r="41" spans="2:29" ht="15.75" customHeight="1" x14ac:dyDescent="0.25">
      <c r="B41" s="149">
        <v>1512</v>
      </c>
      <c r="C41" s="158">
        <v>34630.629999999997</v>
      </c>
      <c r="D41" s="159">
        <v>46052</v>
      </c>
      <c r="E41" s="158" t="s">
        <v>120</v>
      </c>
      <c r="F41" s="208"/>
      <c r="G41" s="208"/>
      <c r="H41" s="208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206"/>
      <c r="T41" s="253">
        <f t="shared" si="2"/>
        <v>273.95999999999998</v>
      </c>
      <c r="U41" s="257">
        <v>273.95999999999998</v>
      </c>
      <c r="V41" s="110">
        <v>340.46</v>
      </c>
      <c r="W41" s="258">
        <v>1263.5</v>
      </c>
      <c r="X41" s="138"/>
      <c r="Y41" s="109"/>
      <c r="Z41" s="109">
        <f t="shared" si="0"/>
        <v>1877.92</v>
      </c>
      <c r="AA41" s="119">
        <f>Z41/C41</f>
        <v>5.4227139384989534E-2</v>
      </c>
      <c r="AB41" s="143"/>
      <c r="AC41" s="62"/>
    </row>
    <row r="42" spans="2:29" ht="15.75" customHeight="1" x14ac:dyDescent="0.25">
      <c r="B42" s="149" t="s">
        <v>68</v>
      </c>
      <c r="C42" s="158">
        <f>XTARGETS!I55</f>
        <v>466467.84450000001</v>
      </c>
      <c r="D42" s="159">
        <f>XTARGETS!C55</f>
        <v>45930</v>
      </c>
      <c r="E42" s="158" t="s">
        <v>120</v>
      </c>
      <c r="F42" s="208"/>
      <c r="G42" s="208"/>
      <c r="H42" s="208"/>
      <c r="I42" s="195"/>
      <c r="J42" s="195"/>
      <c r="K42" s="195"/>
      <c r="L42" s="195"/>
      <c r="M42" s="195"/>
      <c r="N42" s="195"/>
      <c r="O42" s="195">
        <v>39875.020000000011</v>
      </c>
      <c r="P42" s="195">
        <v>42298.970000000016</v>
      </c>
      <c r="Q42" s="195">
        <v>30872.81</v>
      </c>
      <c r="R42" s="195">
        <v>30745.389999999992</v>
      </c>
      <c r="S42" s="206">
        <f t="shared" si="3"/>
        <v>275637.86494999996</v>
      </c>
      <c r="T42" s="253">
        <f t="shared" si="2"/>
        <v>157649.92000000001</v>
      </c>
      <c r="U42" s="257">
        <v>13857.73</v>
      </c>
      <c r="V42" s="110">
        <v>14200.17</v>
      </c>
      <c r="W42" s="258">
        <v>231339.34999999998</v>
      </c>
      <c r="X42" s="138"/>
      <c r="Y42" s="109">
        <v>131845.67494999996</v>
      </c>
      <c r="Z42" s="109">
        <f t="shared" si="0"/>
        <v>403189.44</v>
      </c>
      <c r="AA42" s="119">
        <f t="shared" si="1"/>
        <v>0.86434562372069357</v>
      </c>
      <c r="AC42" s="62"/>
    </row>
    <row r="43" spans="2:29" ht="15.75" customHeight="1" x14ac:dyDescent="0.25">
      <c r="B43" s="149" t="s">
        <v>69</v>
      </c>
      <c r="C43" s="158">
        <f>XTARGETS!I56</f>
        <v>4005.0254999999997</v>
      </c>
      <c r="D43" s="159">
        <f>XTARGETS!C56</f>
        <v>45930</v>
      </c>
      <c r="E43" s="158" t="s">
        <v>120</v>
      </c>
      <c r="F43" s="208"/>
      <c r="G43" s="208"/>
      <c r="H43" s="208"/>
      <c r="I43" s="195"/>
      <c r="J43" s="195"/>
      <c r="K43" s="195"/>
      <c r="L43" s="195"/>
      <c r="M43" s="195"/>
      <c r="N43" s="195"/>
      <c r="O43" s="195">
        <v>3251.9</v>
      </c>
      <c r="P43" s="195">
        <v>650</v>
      </c>
      <c r="Q43" s="195">
        <v>650</v>
      </c>
      <c r="R43" s="195">
        <v>975</v>
      </c>
      <c r="S43" s="206">
        <f t="shared" si="3"/>
        <v>6665.4</v>
      </c>
      <c r="T43" s="253">
        <f t="shared" si="2"/>
        <v>5526.9</v>
      </c>
      <c r="U43" s="257">
        <v>0</v>
      </c>
      <c r="V43" s="110">
        <v>325</v>
      </c>
      <c r="W43" s="258">
        <v>643</v>
      </c>
      <c r="X43" s="138"/>
      <c r="Y43" s="109">
        <v>1138.5</v>
      </c>
      <c r="Z43" s="109">
        <f t="shared" si="0"/>
        <v>6494.9</v>
      </c>
      <c r="AA43" s="119">
        <f t="shared" si="1"/>
        <v>1.6216875523014773</v>
      </c>
      <c r="AB43" s="143"/>
      <c r="AC43" s="62"/>
    </row>
    <row r="44" spans="2:29" ht="15.75" customHeight="1" x14ac:dyDescent="0.25">
      <c r="B44" s="118" t="s">
        <v>70</v>
      </c>
      <c r="C44" s="107">
        <f>XTARGETS!I57</f>
        <v>549457.04099999997</v>
      </c>
      <c r="D44" s="108">
        <f>XTARGETS!C57</f>
        <v>45930</v>
      </c>
      <c r="E44" s="107" t="s">
        <v>71</v>
      </c>
      <c r="F44" s="207"/>
      <c r="G44" s="207"/>
      <c r="H44" s="207"/>
      <c r="I44" s="204"/>
      <c r="J44" s="204"/>
      <c r="K44" s="204"/>
      <c r="L44" s="204"/>
      <c r="M44" s="204"/>
      <c r="N44" s="204"/>
      <c r="O44" s="204">
        <v>45717.200000000012</v>
      </c>
      <c r="P44" s="204">
        <v>42861.319999999992</v>
      </c>
      <c r="Q44" s="204">
        <v>36086.040000000008</v>
      </c>
      <c r="R44" s="204">
        <v>43042.639999999992</v>
      </c>
      <c r="S44" s="205">
        <f t="shared" si="3"/>
        <v>325930.82285</v>
      </c>
      <c r="T44" s="253">
        <f t="shared" si="2"/>
        <v>176631.92</v>
      </c>
      <c r="U44" s="257">
        <v>8924.7199999999993</v>
      </c>
      <c r="V44" s="110">
        <v>16185.79</v>
      </c>
      <c r="W44" s="258">
        <v>240295.30000000008</v>
      </c>
      <c r="X44" s="138"/>
      <c r="Y44" s="109">
        <v>158223.62284999999</v>
      </c>
      <c r="Z44" s="109">
        <f t="shared" si="0"/>
        <v>433113.01000000013</v>
      </c>
      <c r="AA44" s="119">
        <f t="shared" si="1"/>
        <v>0.78825636525058229</v>
      </c>
      <c r="AC44" s="62"/>
    </row>
    <row r="45" spans="2:29" ht="15.75" customHeight="1" x14ac:dyDescent="0.25">
      <c r="B45" s="118" t="s">
        <v>72</v>
      </c>
      <c r="C45" s="107">
        <f>XTARGETS!I58</f>
        <v>6991.0680000000002</v>
      </c>
      <c r="D45" s="108">
        <f>XTARGETS!C58</f>
        <v>45930</v>
      </c>
      <c r="E45" s="107" t="s">
        <v>73</v>
      </c>
      <c r="F45" s="207"/>
      <c r="G45" s="207"/>
      <c r="H45" s="207"/>
      <c r="I45" s="204"/>
      <c r="J45" s="204"/>
      <c r="K45" s="204"/>
      <c r="L45" s="204"/>
      <c r="M45" s="204"/>
      <c r="N45" s="204"/>
      <c r="O45" s="204"/>
      <c r="P45" s="204"/>
      <c r="Q45" s="204">
        <v>1322.6</v>
      </c>
      <c r="R45" s="204">
        <v>177.66</v>
      </c>
      <c r="S45" s="205">
        <f t="shared" si="3"/>
        <v>5272.9408000000003</v>
      </c>
      <c r="T45" s="253">
        <f t="shared" si="2"/>
        <v>1589.09</v>
      </c>
      <c r="U45" s="257">
        <v>88.83</v>
      </c>
      <c r="V45" s="110">
        <v>88.83</v>
      </c>
      <c r="W45" s="258">
        <v>2309.58</v>
      </c>
      <c r="X45" s="138"/>
      <c r="Y45" s="109">
        <v>3772.6808000000001</v>
      </c>
      <c r="Z45" s="109">
        <f t="shared" si="0"/>
        <v>3987.5</v>
      </c>
      <c r="AA45" s="119">
        <f t="shared" si="1"/>
        <v>0.57037065009237498</v>
      </c>
      <c r="AB45" s="143"/>
      <c r="AC45" s="62"/>
    </row>
    <row r="46" spans="2:29" ht="15.75" customHeight="1" x14ac:dyDescent="0.25">
      <c r="B46" s="118" t="s">
        <v>74</v>
      </c>
      <c r="C46" s="107">
        <f>XTARGETS!I59</f>
        <v>236415.65849999999</v>
      </c>
      <c r="D46" s="108">
        <v>45959</v>
      </c>
      <c r="E46" s="107" t="s">
        <v>110</v>
      </c>
      <c r="F46" s="207"/>
      <c r="G46" s="207"/>
      <c r="H46" s="207"/>
      <c r="I46" s="204"/>
      <c r="J46" s="204"/>
      <c r="K46" s="204"/>
      <c r="L46" s="204"/>
      <c r="M46" s="204"/>
      <c r="N46" s="204"/>
      <c r="O46" s="204"/>
      <c r="P46" s="204">
        <v>20798.480000000003</v>
      </c>
      <c r="Q46" s="204">
        <v>20137.879999999997</v>
      </c>
      <c r="R46" s="204">
        <v>28956.53</v>
      </c>
      <c r="S46" s="205">
        <f t="shared" si="3"/>
        <v>69892.89</v>
      </c>
      <c r="T46" s="253">
        <f t="shared" si="2"/>
        <v>77766.06</v>
      </c>
      <c r="U46" s="257">
        <v>7873.17</v>
      </c>
      <c r="V46" s="110">
        <v>12345.9</v>
      </c>
      <c r="W46" s="258">
        <v>199054.71000000011</v>
      </c>
      <c r="X46" s="138"/>
      <c r="Y46" s="109"/>
      <c r="Z46" s="109">
        <f t="shared" si="0"/>
        <v>289166.6700000001</v>
      </c>
      <c r="AA46" s="119">
        <f t="shared" si="1"/>
        <v>1.2231282472349441</v>
      </c>
      <c r="AC46" s="62"/>
    </row>
    <row r="47" spans="2:29" ht="15.75" customHeight="1" x14ac:dyDescent="0.25">
      <c r="B47" s="118" t="s">
        <v>75</v>
      </c>
      <c r="C47" s="107">
        <f>XTARGETS!I60</f>
        <v>2345.8469999999998</v>
      </c>
      <c r="D47" s="108">
        <v>45959</v>
      </c>
      <c r="E47" s="107" t="s">
        <v>111</v>
      </c>
      <c r="F47" s="207"/>
      <c r="G47" s="207"/>
      <c r="H47" s="207"/>
      <c r="I47" s="204"/>
      <c r="J47" s="204"/>
      <c r="K47" s="204"/>
      <c r="L47" s="204"/>
      <c r="M47" s="204"/>
      <c r="N47" s="204"/>
      <c r="O47" s="204"/>
      <c r="P47" s="204">
        <v>546.45000000000005</v>
      </c>
      <c r="Q47" s="204">
        <v>546.45000000000005</v>
      </c>
      <c r="R47" s="204">
        <v>546.45000000000005</v>
      </c>
      <c r="S47" s="205">
        <f t="shared" si="3"/>
        <v>1639.3500000000001</v>
      </c>
      <c r="T47" s="253">
        <f t="shared" si="2"/>
        <v>1639.3500000000001</v>
      </c>
      <c r="U47" s="257">
        <v>0</v>
      </c>
      <c r="V47" s="110">
        <v>546.45000000000005</v>
      </c>
      <c r="W47" s="258">
        <v>4371.2</v>
      </c>
      <c r="X47" s="138"/>
      <c r="Y47" s="109"/>
      <c r="Z47" s="109">
        <f t="shared" si="0"/>
        <v>6557</v>
      </c>
      <c r="AA47" s="119">
        <f t="shared" si="1"/>
        <v>2.7951524545292172</v>
      </c>
    </row>
    <row r="48" spans="2:29" ht="15.75" customHeight="1" x14ac:dyDescent="0.25">
      <c r="B48" s="149" t="s">
        <v>105</v>
      </c>
      <c r="C48" s="158">
        <f>XTARGETS!I61</f>
        <v>238276.86749999999</v>
      </c>
      <c r="D48" s="159">
        <v>45986</v>
      </c>
      <c r="E48" s="158" t="s">
        <v>120</v>
      </c>
      <c r="F48" s="208"/>
      <c r="G48" s="208"/>
      <c r="H48" s="208"/>
      <c r="I48" s="195"/>
      <c r="J48" s="195"/>
      <c r="K48" s="195"/>
      <c r="L48" s="195"/>
      <c r="M48" s="195"/>
      <c r="N48" s="195"/>
      <c r="O48" s="195"/>
      <c r="P48" s="195"/>
      <c r="Q48" s="195">
        <v>14688.05</v>
      </c>
      <c r="R48" s="195">
        <v>27293.849999999995</v>
      </c>
      <c r="S48" s="206">
        <f t="shared" si="3"/>
        <v>41981.899999999994</v>
      </c>
      <c r="T48" s="253">
        <f t="shared" si="2"/>
        <v>53589.619999999995</v>
      </c>
      <c r="U48" s="257">
        <v>11607.72</v>
      </c>
      <c r="V48" s="110">
        <v>12207.919999999998</v>
      </c>
      <c r="W48" s="258">
        <v>206368.81000000006</v>
      </c>
      <c r="X48" s="138"/>
      <c r="Y48" s="109"/>
      <c r="Z48" s="109">
        <f t="shared" si="0"/>
        <v>272166.35000000003</v>
      </c>
      <c r="AA48" s="119">
        <f t="shared" si="1"/>
        <v>1.1422273293063165</v>
      </c>
    </row>
    <row r="49" spans="2:31" ht="15.75" customHeight="1" x14ac:dyDescent="0.25">
      <c r="B49" s="172" t="s">
        <v>106</v>
      </c>
      <c r="C49" s="173">
        <f>XTARGETS!I62</f>
        <v>4765.4984999999997</v>
      </c>
      <c r="D49" s="174">
        <v>45986</v>
      </c>
      <c r="E49" s="173" t="s">
        <v>120</v>
      </c>
      <c r="F49" s="209"/>
      <c r="G49" s="209"/>
      <c r="H49" s="209"/>
      <c r="I49" s="199"/>
      <c r="J49" s="199"/>
      <c r="K49" s="199"/>
      <c r="L49" s="199"/>
      <c r="M49" s="199"/>
      <c r="N49" s="199"/>
      <c r="O49" s="199"/>
      <c r="P49" s="199"/>
      <c r="Q49" s="199"/>
      <c r="R49" s="199">
        <v>406.6</v>
      </c>
      <c r="S49" s="210">
        <f t="shared" si="3"/>
        <v>406.6</v>
      </c>
      <c r="T49" s="254">
        <f t="shared" si="2"/>
        <v>888.2</v>
      </c>
      <c r="U49" s="260">
        <v>481.6</v>
      </c>
      <c r="V49" s="175">
        <v>481.6</v>
      </c>
      <c r="W49" s="261">
        <v>6124.38</v>
      </c>
      <c r="X49" s="177"/>
      <c r="Y49" s="142"/>
      <c r="Z49" s="142">
        <f t="shared" si="0"/>
        <v>7494.18</v>
      </c>
      <c r="AA49" s="176">
        <f t="shared" si="1"/>
        <v>1.5725909891693388</v>
      </c>
    </row>
    <row r="50" spans="2:31" ht="15.75" customHeight="1" x14ac:dyDescent="0.25">
      <c r="B50" s="149" t="s">
        <v>123</v>
      </c>
      <c r="C50" s="158">
        <v>279545.07</v>
      </c>
      <c r="D50" s="159">
        <v>46020</v>
      </c>
      <c r="E50" s="158" t="s">
        <v>120</v>
      </c>
      <c r="F50" s="208"/>
      <c r="G50" s="208"/>
      <c r="H50" s="208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206"/>
      <c r="T50" s="254">
        <f t="shared" si="2"/>
        <v>21242.3</v>
      </c>
      <c r="U50" s="257">
        <v>21242.3</v>
      </c>
      <c r="V50" s="110">
        <v>12290.340000000002</v>
      </c>
      <c r="W50" s="258">
        <v>63190.590000000018</v>
      </c>
      <c r="X50" s="138"/>
      <c r="Y50" s="109"/>
      <c r="Z50" s="142">
        <f t="shared" si="0"/>
        <v>96723.23000000001</v>
      </c>
      <c r="AA50" s="176">
        <f t="shared" si="1"/>
        <v>0.346002274338088</v>
      </c>
      <c r="AB50" s="4"/>
    </row>
    <row r="51" spans="2:31" ht="15.75" customHeight="1" x14ac:dyDescent="0.25">
      <c r="B51" s="149" t="s">
        <v>124</v>
      </c>
      <c r="C51" s="158">
        <v>1471.01</v>
      </c>
      <c r="D51" s="159">
        <v>46020</v>
      </c>
      <c r="E51" s="158" t="s">
        <v>120</v>
      </c>
      <c r="F51" s="208"/>
      <c r="G51" s="208"/>
      <c r="H51" s="208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206"/>
      <c r="T51" s="254">
        <f t="shared" si="2"/>
        <v>0</v>
      </c>
      <c r="U51" s="257">
        <v>0</v>
      </c>
      <c r="V51" s="110">
        <v>0</v>
      </c>
      <c r="W51" s="258">
        <v>0</v>
      </c>
      <c r="X51" s="138"/>
      <c r="Y51" s="109"/>
      <c r="Z51" s="142">
        <f t="shared" si="0"/>
        <v>0</v>
      </c>
      <c r="AA51" s="176">
        <f t="shared" si="1"/>
        <v>0</v>
      </c>
    </row>
    <row r="52" spans="2:31" ht="15.75" customHeight="1" x14ac:dyDescent="0.25">
      <c r="B52" s="149" t="s">
        <v>125</v>
      </c>
      <c r="C52" s="158">
        <v>313017.89</v>
      </c>
      <c r="D52" s="159">
        <v>46052</v>
      </c>
      <c r="E52" s="158" t="s">
        <v>120</v>
      </c>
      <c r="F52" s="208"/>
      <c r="G52" s="208"/>
      <c r="H52" s="208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206"/>
      <c r="T52" s="254">
        <f t="shared" si="2"/>
        <v>17890.93</v>
      </c>
      <c r="U52" s="257">
        <v>17890.93</v>
      </c>
      <c r="V52" s="110">
        <v>7847.5100000000011</v>
      </c>
      <c r="W52" s="258">
        <v>112780.85999999997</v>
      </c>
      <c r="X52" s="138"/>
      <c r="Y52" s="109"/>
      <c r="Z52" s="142">
        <f t="shared" si="0"/>
        <v>138519.29999999999</v>
      </c>
      <c r="AA52" s="176">
        <f t="shared" si="1"/>
        <v>0.4425283807260984</v>
      </c>
    </row>
    <row r="53" spans="2:31" ht="15" customHeight="1" thickBot="1" x14ac:dyDescent="0.3">
      <c r="B53" s="150" t="s">
        <v>126</v>
      </c>
      <c r="C53" s="160">
        <v>3758.46</v>
      </c>
      <c r="D53" s="161">
        <v>46052</v>
      </c>
      <c r="E53" s="160" t="s">
        <v>120</v>
      </c>
      <c r="F53" s="211"/>
      <c r="G53" s="211"/>
      <c r="H53" s="21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12"/>
      <c r="T53" s="254">
        <f t="shared" si="2"/>
        <v>0</v>
      </c>
      <c r="U53" s="262">
        <v>0</v>
      </c>
      <c r="V53" s="263">
        <v>0</v>
      </c>
      <c r="W53" s="264">
        <v>0</v>
      </c>
      <c r="X53" s="177"/>
      <c r="Y53" s="142"/>
      <c r="Z53" s="142">
        <f t="shared" si="0"/>
        <v>0</v>
      </c>
      <c r="AA53" s="176">
        <f t="shared" si="1"/>
        <v>0</v>
      </c>
    </row>
    <row r="54" spans="2:31" ht="15.75" customHeight="1" thickBot="1" x14ac:dyDescent="0.3">
      <c r="B54" s="278" t="s">
        <v>94</v>
      </c>
      <c r="C54" s="277">
        <f>SUM(C5:C53)</f>
        <v>6970667.6584999999</v>
      </c>
      <c r="D54" s="277"/>
      <c r="E54" s="277"/>
      <c r="F54" s="277">
        <f>SUM(F5:F53)</f>
        <v>17764.75</v>
      </c>
      <c r="G54" s="277">
        <f t="shared" ref="G54:S54" si="5">SUM(G5:G53)</f>
        <v>6555.3600000000006</v>
      </c>
      <c r="H54" s="277">
        <f t="shared" si="5"/>
        <v>39700.729999999996</v>
      </c>
      <c r="I54" s="277">
        <f t="shared" si="5"/>
        <v>80800.959999999992</v>
      </c>
      <c r="J54" s="277">
        <f t="shared" si="5"/>
        <v>99512.110000000015</v>
      </c>
      <c r="K54" s="277">
        <f t="shared" si="5"/>
        <v>110393.96999999999</v>
      </c>
      <c r="L54" s="277">
        <f t="shared" si="5"/>
        <v>132435.32</v>
      </c>
      <c r="M54" s="277">
        <f t="shared" si="5"/>
        <v>150786.21000000002</v>
      </c>
      <c r="N54" s="277">
        <f t="shared" si="5"/>
        <v>175193.06000000006</v>
      </c>
      <c r="O54" s="277">
        <f t="shared" si="5"/>
        <v>326916.73000000004</v>
      </c>
      <c r="P54" s="277">
        <f t="shared" si="5"/>
        <v>302522.32</v>
      </c>
      <c r="Q54" s="277">
        <f t="shared" si="5"/>
        <v>329893</v>
      </c>
      <c r="R54" s="277">
        <f t="shared" si="5"/>
        <v>375957.85999999993</v>
      </c>
      <c r="S54" s="277">
        <f t="shared" si="5"/>
        <v>2907142.7709000004</v>
      </c>
      <c r="T54" s="277">
        <f t="shared" ref="T54" si="6">SUM(T5:T53)</f>
        <v>2333662.64</v>
      </c>
      <c r="U54" s="277">
        <f t="shared" ref="U54" si="7">SUM(U5:U53)</f>
        <v>185230.26</v>
      </c>
      <c r="V54" s="277">
        <f t="shared" ref="V54" si="8">SUM(V5:V53)</f>
        <v>197469.76</v>
      </c>
      <c r="W54" s="277">
        <f t="shared" ref="W54" si="9">SUM(W5:W53)</f>
        <v>3029077.5900000003</v>
      </c>
      <c r="X54" s="277">
        <f t="shared" ref="X54" si="10">SUM(X5:X53)</f>
        <v>0</v>
      </c>
      <c r="Y54" s="277">
        <f t="shared" ref="Y54" si="11">SUM(Y5:Y53)</f>
        <v>758710.3909</v>
      </c>
      <c r="Z54" s="277">
        <f t="shared" ref="Z54" si="12">SUM(Z5:Z53)</f>
        <v>5560209.9900000002</v>
      </c>
      <c r="AA54" s="277">
        <f t="shared" ref="AA54" si="13">SUM(AA5:AA49)</f>
        <v>45.809098240434786</v>
      </c>
    </row>
    <row r="55" spans="2:31" ht="15.75" customHeight="1" x14ac:dyDescent="0.25">
      <c r="B55" s="51"/>
      <c r="C55" s="51"/>
      <c r="D55" s="51"/>
      <c r="E55" s="51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2:31" ht="15.75" customHeight="1" thickBot="1" x14ac:dyDescent="0.3">
      <c r="B56" s="51"/>
      <c r="C56" s="51"/>
      <c r="D56" s="51"/>
      <c r="E56" s="51"/>
      <c r="F56" s="51"/>
      <c r="G56" s="51"/>
      <c r="H56" s="51"/>
      <c r="L56" s="52"/>
      <c r="Q56" s="136"/>
      <c r="R56" s="136"/>
      <c r="S56" s="136"/>
    </row>
    <row r="57" spans="2:31" ht="15.75" customHeight="1" thickBot="1" x14ac:dyDescent="0.3">
      <c r="B57" s="51"/>
      <c r="C57" s="51"/>
      <c r="D57" s="51"/>
      <c r="E57" s="51"/>
      <c r="F57" s="51"/>
      <c r="G57" s="51"/>
      <c r="H57" s="51"/>
      <c r="I57" s="52"/>
      <c r="J57" s="52"/>
      <c r="K57" s="52"/>
      <c r="L57" s="64"/>
      <c r="M57" s="52"/>
      <c r="N57" s="52"/>
      <c r="O57" s="52"/>
      <c r="P57" s="52"/>
      <c r="Q57" s="52"/>
      <c r="R57" s="144"/>
      <c r="S57" s="144"/>
      <c r="U57" s="284" t="s">
        <v>84</v>
      </c>
      <c r="V57" s="282"/>
      <c r="W57" s="281"/>
      <c r="X57" s="53"/>
      <c r="Y57" s="53"/>
    </row>
    <row r="58" spans="2:31" ht="15.75" customHeight="1" thickBot="1" x14ac:dyDescent="0.3">
      <c r="B58" s="285" t="s">
        <v>95</v>
      </c>
      <c r="C58" s="281"/>
      <c r="D58" s="4"/>
      <c r="E58" s="4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4"/>
      <c r="U58" s="286">
        <v>46054</v>
      </c>
      <c r="V58" s="282"/>
      <c r="W58" s="281"/>
      <c r="X58" s="55"/>
      <c r="Y58" s="55"/>
      <c r="Z58" s="4"/>
      <c r="AA58" s="65" t="s">
        <v>96</v>
      </c>
      <c r="AB58" s="171" t="s">
        <v>97</v>
      </c>
      <c r="AC58" s="65" t="s">
        <v>98</v>
      </c>
      <c r="AD58" s="65" t="s">
        <v>99</v>
      </c>
    </row>
    <row r="59" spans="2:31" ht="15.75" customHeight="1" thickBot="1" x14ac:dyDescent="0.3">
      <c r="B59" s="66" t="s">
        <v>86</v>
      </c>
      <c r="C59" s="66" t="s">
        <v>87</v>
      </c>
      <c r="D59" s="66"/>
      <c r="E59" s="66" t="s">
        <v>13</v>
      </c>
      <c r="F59" s="67">
        <v>45658</v>
      </c>
      <c r="G59" s="67">
        <v>45689</v>
      </c>
      <c r="H59" s="67">
        <v>45717</v>
      </c>
      <c r="I59" s="67">
        <v>45748</v>
      </c>
      <c r="J59" s="67">
        <v>45778</v>
      </c>
      <c r="K59" s="67">
        <v>45809</v>
      </c>
      <c r="L59" s="67">
        <v>45839</v>
      </c>
      <c r="M59" s="67">
        <v>45870</v>
      </c>
      <c r="N59" s="67">
        <v>45901</v>
      </c>
      <c r="O59" s="67">
        <v>45931</v>
      </c>
      <c r="P59" s="67">
        <v>45962</v>
      </c>
      <c r="Q59" s="67">
        <v>45992</v>
      </c>
      <c r="R59" s="67">
        <v>46023</v>
      </c>
      <c r="S59" s="67" t="s">
        <v>122</v>
      </c>
      <c r="T59" s="68" t="s">
        <v>88</v>
      </c>
      <c r="U59" s="67" t="s">
        <v>81</v>
      </c>
      <c r="V59" s="67" t="s">
        <v>89</v>
      </c>
      <c r="W59" s="139" t="s">
        <v>22</v>
      </c>
      <c r="X59" s="141" t="s">
        <v>90</v>
      </c>
      <c r="Y59" s="140" t="s">
        <v>91</v>
      </c>
      <c r="Z59" s="66" t="s">
        <v>92</v>
      </c>
      <c r="AA59" s="67" t="s">
        <v>100</v>
      </c>
      <c r="AB59" s="140" t="s">
        <v>101</v>
      </c>
      <c r="AC59" s="67" t="s">
        <v>102</v>
      </c>
      <c r="AD59" s="67" t="s">
        <v>80</v>
      </c>
      <c r="AE59" s="69" t="s">
        <v>93</v>
      </c>
    </row>
    <row r="60" spans="2:31" ht="15.75" customHeight="1" x14ac:dyDescent="0.25">
      <c r="B60" s="112">
        <v>1401</v>
      </c>
      <c r="C60" s="113">
        <f t="shared" ref="C60:E72" si="14">C5</f>
        <v>44411.608499999995</v>
      </c>
      <c r="D60" s="114">
        <f t="shared" si="14"/>
        <v>45657</v>
      </c>
      <c r="E60" s="113" t="str">
        <f t="shared" si="14"/>
        <v>FE6001</v>
      </c>
      <c r="F60" s="191">
        <f>13323.56-ROUND(F5*5%,2)</f>
        <v>12435.32</v>
      </c>
      <c r="G60" s="191">
        <f>3117.5-ROUND(G5*5%,2)</f>
        <v>2909.67</v>
      </c>
      <c r="H60" s="191">
        <f>3017.15-ROUND(H5*5%,2)</f>
        <v>2816.01</v>
      </c>
      <c r="I60" s="191">
        <f>5740.78-ROUND(I5*5%,2)</f>
        <v>5358.0599999999995</v>
      </c>
      <c r="J60" s="191">
        <f>3349.64-ROUND(J5*5%,2)</f>
        <v>3126.33</v>
      </c>
      <c r="K60" s="191">
        <f>3555.59-ROUND(K5*5%,2)</f>
        <v>3316.51</v>
      </c>
      <c r="L60" s="191">
        <f>2085.05-ROUND(L5*5%,2)</f>
        <v>1946.4600000000003</v>
      </c>
      <c r="M60" s="191">
        <f>2088.88-ROUND(M5*5%,2)</f>
        <v>1950.25</v>
      </c>
      <c r="N60" s="191">
        <f>1690.33-ROUND(N5*5%,2)</f>
        <v>1578.9499999999998</v>
      </c>
      <c r="O60" s="191">
        <f>2062.49-ROUND(O5*5%,2)</f>
        <v>1923.9999999999998</v>
      </c>
      <c r="P60" s="191">
        <f>1752.1-ROUND(P5*5%,2)</f>
        <v>1634.31</v>
      </c>
      <c r="Q60" s="191">
        <f>4405.56-ROUND(Q5*5%,2)</f>
        <v>4138.55</v>
      </c>
      <c r="R60" s="191">
        <f>4890.01-ROUND(R5*5%,2)</f>
        <v>4522.4800000000005</v>
      </c>
      <c r="S60" s="192">
        <f>SUM(F60:R60)+Y60</f>
        <v>47656.9</v>
      </c>
      <c r="T60" s="178">
        <f>SUM(F60:R60)+U60</f>
        <v>47848.9</v>
      </c>
      <c r="U60" s="265">
        <v>192</v>
      </c>
      <c r="V60" s="266">
        <v>1065.76</v>
      </c>
      <c r="W60" s="267">
        <v>13958.259999999998</v>
      </c>
      <c r="X60" s="183">
        <f>R60+R61</f>
        <v>4673.38</v>
      </c>
      <c r="Y60" s="137"/>
      <c r="Z60" s="184">
        <f>SUM(T60+V60+W60+Y60)</f>
        <v>62872.92</v>
      </c>
      <c r="AA60" s="180">
        <f t="shared" ref="AA60:AA104" si="15">Z60/C60</f>
        <v>1.415686621663343</v>
      </c>
      <c r="AB60" s="123">
        <f t="shared" ref="AB60:AB71" ca="1" si="16">DATEDIF(DATE(YEAR(D60), MONTH(D60), 1), TODAY(), "m")</f>
        <v>14</v>
      </c>
      <c r="AC60" s="123">
        <f t="shared" ref="AC60:AC104" ca="1" si="17">36-AB60</f>
        <v>22</v>
      </c>
      <c r="AD60" s="124">
        <f t="shared" ref="AD60:AD72" si="18">B60</f>
        <v>1401</v>
      </c>
      <c r="AE60" s="117">
        <f t="shared" ref="AE60:AE72" si="19">Z60/C60</f>
        <v>1.415686621663343</v>
      </c>
    </row>
    <row r="61" spans="2:31" ht="15.75" customHeight="1" x14ac:dyDescent="0.25">
      <c r="B61" s="118" t="s">
        <v>26</v>
      </c>
      <c r="C61" s="107">
        <f t="shared" si="14"/>
        <v>26705.427000000003</v>
      </c>
      <c r="D61" s="108">
        <f t="shared" si="14"/>
        <v>45657</v>
      </c>
      <c r="E61" s="107" t="str">
        <f t="shared" si="14"/>
        <v>FE6002</v>
      </c>
      <c r="F61" s="193"/>
      <c r="G61" s="193"/>
      <c r="H61" s="193">
        <f>3314.6-ROUND(H6*5%,2)</f>
        <v>3093.63</v>
      </c>
      <c r="I61" s="193">
        <f>3167.36-ROUND(I6*5%,2)</f>
        <v>2956.2000000000003</v>
      </c>
      <c r="J61" s="193">
        <f>906.86-ROUND(J6*5%,2)</f>
        <v>846.4</v>
      </c>
      <c r="K61" s="193">
        <f>1264.24-ROUND(K6*5%,2)</f>
        <v>1174.53</v>
      </c>
      <c r="L61" s="193">
        <f>936.86-ROUND(L6*5%,2)</f>
        <v>871.4</v>
      </c>
      <c r="M61" s="193">
        <f>693.54-ROUND(M6*5%,2)</f>
        <v>647.29999999999995</v>
      </c>
      <c r="N61" s="193">
        <f>208.5-ROUND(N6*5%,2)</f>
        <v>194.6</v>
      </c>
      <c r="O61" s="193">
        <f>636.12-ROUND(O6*5%,2)</f>
        <v>593.71</v>
      </c>
      <c r="P61" s="193">
        <f>855.24-ROUND(P6*5%,2)</f>
        <v>798.22</v>
      </c>
      <c r="Q61" s="193">
        <f>-161.69-ROUND(Q6*5%,2)</f>
        <v>-150.91</v>
      </c>
      <c r="R61" s="193">
        <f>161.68-ROUND(R6*5%,2)</f>
        <v>150.9</v>
      </c>
      <c r="S61" s="194">
        <f>SUM(F61:R61)+Y61</f>
        <v>11175.98</v>
      </c>
      <c r="T61" s="179">
        <f t="shared" ref="T61:T108" si="20">SUM(F61:R61)+U61</f>
        <v>11175.98</v>
      </c>
      <c r="U61" s="268">
        <v>0</v>
      </c>
      <c r="V61" s="269">
        <v>161.68</v>
      </c>
      <c r="W61" s="270">
        <v>484.96000000000004</v>
      </c>
      <c r="X61" s="185"/>
      <c r="Y61" s="138"/>
      <c r="Z61" s="186">
        <f>SUM(T61+V61+W61+Y61)</f>
        <v>11822.619999999999</v>
      </c>
      <c r="AA61" s="181">
        <f t="shared" si="15"/>
        <v>0.44270477307852063</v>
      </c>
      <c r="AB61" s="122">
        <f t="shared" ca="1" si="16"/>
        <v>14</v>
      </c>
      <c r="AC61" s="122">
        <f t="shared" ca="1" si="17"/>
        <v>22</v>
      </c>
      <c r="AD61" s="106" t="str">
        <f t="shared" si="18"/>
        <v>1401 (Aged)</v>
      </c>
      <c r="AE61" s="119">
        <f t="shared" si="19"/>
        <v>0.44270477307852063</v>
      </c>
    </row>
    <row r="62" spans="2:31" ht="15.75" customHeight="1" x14ac:dyDescent="0.25">
      <c r="B62" s="118">
        <v>1402</v>
      </c>
      <c r="C62" s="107">
        <f t="shared" si="14"/>
        <v>24799.488000000001</v>
      </c>
      <c r="D62" s="108">
        <f t="shared" si="14"/>
        <v>45688</v>
      </c>
      <c r="E62" s="107" t="str">
        <f t="shared" si="14"/>
        <v>FE6003</v>
      </c>
      <c r="F62" s="193"/>
      <c r="G62" s="193">
        <f>1799.02-ROUND(G7*5%,2)</f>
        <v>1679.09</v>
      </c>
      <c r="H62" s="193">
        <f>1311.45-ROUND(H7*5%,2)</f>
        <v>1224.02</v>
      </c>
      <c r="I62" s="193">
        <f>1109.8-ROUND(I7*5%,2)</f>
        <v>1035.81</v>
      </c>
      <c r="J62" s="193">
        <f>1357.59-ROUND(J7*5%,2)</f>
        <v>1267.08</v>
      </c>
      <c r="K62" s="193">
        <f>1156.59-ROUND(K7*5%,2)</f>
        <v>1079.48</v>
      </c>
      <c r="L62" s="193">
        <f>823.14-ROUND(L7*5%,2)</f>
        <v>768.26</v>
      </c>
      <c r="M62" s="193">
        <f>985.59-ROUND(M7*5%,2)</f>
        <v>917.56000000000006</v>
      </c>
      <c r="N62" s="193">
        <f>993.76-ROUND(N7*5%,2)</f>
        <v>924.76</v>
      </c>
      <c r="O62" s="193">
        <f>1204.51-ROUND(O7*5%,2)</f>
        <v>1121.46</v>
      </c>
      <c r="P62" s="193">
        <f>739.64-ROUND(P7*5%,2)</f>
        <v>689.91</v>
      </c>
      <c r="Q62" s="193">
        <f>739.64-ROUND(Q7*5%,2)</f>
        <v>689.91</v>
      </c>
      <c r="R62" s="193">
        <f>780.14-ROUND(R7*5%,2)</f>
        <v>727.71</v>
      </c>
      <c r="S62" s="194">
        <f t="shared" ref="S62:S108" si="21">SUM(F62:R62)+Y62</f>
        <v>15665.68336875</v>
      </c>
      <c r="T62" s="179">
        <f t="shared" si="20"/>
        <v>12337.869999999999</v>
      </c>
      <c r="U62" s="268">
        <v>212.82</v>
      </c>
      <c r="V62" s="269">
        <v>1232.2399999999998</v>
      </c>
      <c r="W62" s="270">
        <v>11943.519999999997</v>
      </c>
      <c r="X62" s="185"/>
      <c r="Y62" s="138">
        <v>3540.63336875</v>
      </c>
      <c r="Z62" s="186">
        <f t="shared" ref="Z62:Z103" si="22">SUM(T62+V62+W62+Y62)</f>
        <v>29054.263368749998</v>
      </c>
      <c r="AA62" s="181">
        <f t="shared" si="15"/>
        <v>1.171567064963196</v>
      </c>
      <c r="AB62" s="122">
        <f t="shared" ca="1" si="16"/>
        <v>13</v>
      </c>
      <c r="AC62" s="122">
        <f t="shared" ca="1" si="17"/>
        <v>23</v>
      </c>
      <c r="AD62" s="106">
        <f t="shared" si="18"/>
        <v>1402</v>
      </c>
      <c r="AE62" s="119">
        <f t="shared" si="19"/>
        <v>1.171567064963196</v>
      </c>
    </row>
    <row r="63" spans="2:31" ht="15.75" customHeight="1" x14ac:dyDescent="0.25">
      <c r="B63" s="118">
        <v>1403</v>
      </c>
      <c r="C63" s="107">
        <f t="shared" si="14"/>
        <v>20767.834500000001</v>
      </c>
      <c r="D63" s="108">
        <f t="shared" si="14"/>
        <v>45719</v>
      </c>
      <c r="E63" s="107" t="str">
        <f t="shared" si="14"/>
        <v>NEXA001</v>
      </c>
      <c r="F63" s="193"/>
      <c r="G63" s="193"/>
      <c r="H63" s="193">
        <f>4666.25-ROUND(H8*10%,2)</f>
        <v>4044.08</v>
      </c>
      <c r="I63" s="193">
        <f>1772.75-ROUND(I8*10%,2)</f>
        <v>1536.38</v>
      </c>
      <c r="J63" s="193">
        <f>1201.19-ROUND(J8*10%,2)</f>
        <v>1041.03</v>
      </c>
      <c r="K63" s="193">
        <f>1101.44-ROUND(K8*10%,2)</f>
        <v>954.58</v>
      </c>
      <c r="L63" s="193">
        <f>683.47-ROUND(L8*10%,2)</f>
        <v>592.34</v>
      </c>
      <c r="M63" s="193">
        <f>1338.44-ROUND(M8*10%,2)</f>
        <v>1159.98</v>
      </c>
      <c r="N63" s="193">
        <f>1143.44-ROUND(N8*10%,2)</f>
        <v>990.98</v>
      </c>
      <c r="O63" s="193">
        <f>1018.19-ROUND(O8*10%,2)</f>
        <v>882.43000000000006</v>
      </c>
      <c r="P63" s="193">
        <f>918.44-ROUND(P8*10%,2)</f>
        <v>795.98</v>
      </c>
      <c r="Q63" s="193">
        <f>693.44-ROUND(Q8*10%,2)</f>
        <v>600.98</v>
      </c>
      <c r="R63" s="193">
        <f>1929.45-ROUND(R8*10%,2)</f>
        <v>1672.19</v>
      </c>
      <c r="S63" s="194">
        <f t="shared" si="21"/>
        <v>16420.170969999999</v>
      </c>
      <c r="T63" s="179">
        <f t="shared" si="20"/>
        <v>15156.71</v>
      </c>
      <c r="U63" s="268">
        <v>885.76</v>
      </c>
      <c r="V63" s="269">
        <v>1405.2</v>
      </c>
      <c r="W63" s="270">
        <v>6624.9800000000005</v>
      </c>
      <c r="X63" s="185"/>
      <c r="Y63" s="138">
        <v>2149.2209699999999</v>
      </c>
      <c r="Z63" s="186">
        <f t="shared" si="22"/>
        <v>25336.110969999998</v>
      </c>
      <c r="AA63" s="181">
        <f t="shared" si="15"/>
        <v>1.2199688402755713</v>
      </c>
      <c r="AB63" s="122">
        <f t="shared" ca="1" si="16"/>
        <v>11</v>
      </c>
      <c r="AC63" s="122">
        <f t="shared" ca="1" si="17"/>
        <v>25</v>
      </c>
      <c r="AD63" s="106">
        <f t="shared" si="18"/>
        <v>1403</v>
      </c>
      <c r="AE63" s="119">
        <f t="shared" si="19"/>
        <v>1.2199688402755713</v>
      </c>
    </row>
    <row r="64" spans="2:31" ht="15.75" customHeight="1" x14ac:dyDescent="0.25">
      <c r="B64" s="118">
        <v>1404</v>
      </c>
      <c r="C64" s="107">
        <f t="shared" si="14"/>
        <v>16507.512000000002</v>
      </c>
      <c r="D64" s="108">
        <f t="shared" si="14"/>
        <v>45749</v>
      </c>
      <c r="E64" s="107" t="str">
        <f t="shared" si="14"/>
        <v>NEXA002</v>
      </c>
      <c r="F64" s="193"/>
      <c r="G64" s="193"/>
      <c r="H64" s="193"/>
      <c r="I64" s="193">
        <f>1134.64-ROUND(I9*10%,2)</f>
        <v>983.35000000000014</v>
      </c>
      <c r="J64" s="193">
        <f>1379.14-ROUND(J9*10%,2)</f>
        <v>1195.25</v>
      </c>
      <c r="K64" s="193">
        <f>1211.89-ROUND(K9*10%,2)</f>
        <v>1050.3000000000002</v>
      </c>
      <c r="L64" s="193">
        <f>728.81-ROUND(L9*10%,2)</f>
        <v>631.62999999999988</v>
      </c>
      <c r="M64" s="193">
        <f>728.81-ROUND(M9*10%,2)</f>
        <v>631.62999999999988</v>
      </c>
      <c r="N64" s="193">
        <f>888.35-ROUND(N9*10%,2)</f>
        <v>767.54</v>
      </c>
      <c r="O64" s="193">
        <f>3444.08-ROUND(O9*10%,2)</f>
        <v>2910.75</v>
      </c>
      <c r="P64" s="193">
        <f>603.17-ROUND(P9*10%,2)</f>
        <v>520.78</v>
      </c>
      <c r="Q64" s="193">
        <f>603.17-ROUND(Q9*10%,2)</f>
        <v>520.78</v>
      </c>
      <c r="R64" s="193">
        <f>603.17-ROUND(R9*10%,2)</f>
        <v>520.78</v>
      </c>
      <c r="S64" s="194">
        <f t="shared" si="21"/>
        <v>10338.901525000003</v>
      </c>
      <c r="T64" s="179">
        <f t="shared" si="20"/>
        <v>9732.7900000000027</v>
      </c>
      <c r="U64" s="268">
        <v>0</v>
      </c>
      <c r="V64" s="269">
        <v>529.30999999999995</v>
      </c>
      <c r="W64" s="270">
        <v>5252.5099999999993</v>
      </c>
      <c r="X64" s="185"/>
      <c r="Y64" s="138">
        <v>606.11152499999992</v>
      </c>
      <c r="Z64" s="186">
        <f t="shared" si="22"/>
        <v>16120.721525000001</v>
      </c>
      <c r="AA64" s="181">
        <f t="shared" si="15"/>
        <v>0.97656882060724826</v>
      </c>
      <c r="AB64" s="122">
        <f t="shared" ca="1" si="16"/>
        <v>10</v>
      </c>
      <c r="AC64" s="122">
        <f t="shared" ca="1" si="17"/>
        <v>26</v>
      </c>
      <c r="AD64" s="106">
        <f t="shared" si="18"/>
        <v>1404</v>
      </c>
      <c r="AE64" s="119">
        <f t="shared" si="19"/>
        <v>0.97656882060724826</v>
      </c>
    </row>
    <row r="65" spans="2:31" ht="15.75" customHeight="1" x14ac:dyDescent="0.25">
      <c r="B65" s="118">
        <v>1405</v>
      </c>
      <c r="C65" s="107">
        <f t="shared" si="14"/>
        <v>22630.65</v>
      </c>
      <c r="D65" s="108">
        <f t="shared" si="14"/>
        <v>45776</v>
      </c>
      <c r="E65" s="107" t="str">
        <f t="shared" si="14"/>
        <v>NEXA003</v>
      </c>
      <c r="F65" s="193"/>
      <c r="G65" s="193"/>
      <c r="H65" s="193"/>
      <c r="I65" s="193"/>
      <c r="J65" s="193">
        <f>3168-ROUND(J10*10%,2)</f>
        <v>2745.6</v>
      </c>
      <c r="K65" s="193">
        <f>1359.75-ROUND(K10*10%,2)</f>
        <v>1178.45</v>
      </c>
      <c r="L65" s="193">
        <f>1034.25-ROUND(L10*10%,2)</f>
        <v>896.35</v>
      </c>
      <c r="M65" s="193">
        <f>958.5-ROUND(M10*10%,2)</f>
        <v>828.2</v>
      </c>
      <c r="N65" s="193">
        <f>913.5-ROUND(N10*10%,2)</f>
        <v>789.2</v>
      </c>
      <c r="O65" s="193">
        <f>1128-ROUND(O10*10%,2)</f>
        <v>975.1</v>
      </c>
      <c r="P65" s="193">
        <f>881-ROUND(P10*10%,2)</f>
        <v>762.7</v>
      </c>
      <c r="Q65" s="193">
        <f>971-ROUND(Q10*10%,2)</f>
        <v>840.7</v>
      </c>
      <c r="R65" s="193">
        <f>1061.63-ROUND(R10*10%,2)</f>
        <v>918.83000000000015</v>
      </c>
      <c r="S65" s="194">
        <f t="shared" si="21"/>
        <v>15151.075635000001</v>
      </c>
      <c r="T65" s="179">
        <f t="shared" si="20"/>
        <v>10275.880000000001</v>
      </c>
      <c r="U65" s="268">
        <v>340.75</v>
      </c>
      <c r="V65" s="269">
        <v>521.5</v>
      </c>
      <c r="W65" s="270">
        <v>9750.17</v>
      </c>
      <c r="X65" s="185"/>
      <c r="Y65" s="138">
        <v>5215.9456350000009</v>
      </c>
      <c r="Z65" s="186">
        <f t="shared" si="22"/>
        <v>25763.495635000003</v>
      </c>
      <c r="AA65" s="181">
        <f t="shared" si="15"/>
        <v>1.138433745164191</v>
      </c>
      <c r="AB65" s="122">
        <f t="shared" ca="1" si="16"/>
        <v>10</v>
      </c>
      <c r="AC65" s="122">
        <f t="shared" ca="1" si="17"/>
        <v>26</v>
      </c>
      <c r="AD65" s="106">
        <f t="shared" si="18"/>
        <v>1405</v>
      </c>
      <c r="AE65" s="119">
        <f t="shared" si="19"/>
        <v>1.138433745164191</v>
      </c>
    </row>
    <row r="66" spans="2:31" ht="15.75" customHeight="1" x14ac:dyDescent="0.25">
      <c r="B66" s="118">
        <v>1406</v>
      </c>
      <c r="C66" s="107">
        <f t="shared" si="14"/>
        <v>22692.474000000002</v>
      </c>
      <c r="D66" s="108">
        <f t="shared" si="14"/>
        <v>45806</v>
      </c>
      <c r="E66" s="107" t="str">
        <f t="shared" si="14"/>
        <v>NEXA004</v>
      </c>
      <c r="F66" s="193"/>
      <c r="G66" s="193"/>
      <c r="H66" s="193"/>
      <c r="I66" s="193"/>
      <c r="J66" s="193"/>
      <c r="K66" s="193">
        <f>1733.55-ROUND(K11*10%,2)</f>
        <v>1502.4099999999999</v>
      </c>
      <c r="L66" s="193">
        <f>516.76-ROUND(L11*10%,2)</f>
        <v>447.86</v>
      </c>
      <c r="M66" s="193">
        <f>2346.77-ROUND(M11*10%,2)</f>
        <v>2033.87</v>
      </c>
      <c r="N66" s="193">
        <f>2955.62-ROUND(N11*10%,2)</f>
        <v>2560.5499999999997</v>
      </c>
      <c r="O66" s="193">
        <f>850.03-ROUND(O11*10%,2)</f>
        <v>730.18999999999994</v>
      </c>
      <c r="P66" s="193">
        <f>513.85-ROUND(P11*10%,2)</f>
        <v>439.95000000000005</v>
      </c>
      <c r="Q66" s="193">
        <f>473.59-ROUND(Q11*10%,2)</f>
        <v>405.65</v>
      </c>
      <c r="R66" s="193">
        <f>406.99-ROUND(R11*10%,2)</f>
        <v>348.92</v>
      </c>
      <c r="S66" s="194">
        <f t="shared" si="21"/>
        <v>11614.811574999998</v>
      </c>
      <c r="T66" s="179">
        <f t="shared" si="20"/>
        <v>8718.1099999999969</v>
      </c>
      <c r="U66" s="268">
        <v>248.71</v>
      </c>
      <c r="V66" s="269">
        <v>169.27</v>
      </c>
      <c r="W66" s="270">
        <v>8800.5899999999983</v>
      </c>
      <c r="X66" s="185"/>
      <c r="Y66" s="138">
        <v>3145.4115750000005</v>
      </c>
      <c r="Z66" s="186">
        <f t="shared" si="22"/>
        <v>20833.381574999996</v>
      </c>
      <c r="AA66" s="181">
        <f t="shared" si="15"/>
        <v>0.91807449355235549</v>
      </c>
      <c r="AB66" s="122">
        <f t="shared" ca="1" si="16"/>
        <v>9</v>
      </c>
      <c r="AC66" s="122">
        <f t="shared" ca="1" si="17"/>
        <v>27</v>
      </c>
      <c r="AD66" s="106">
        <f t="shared" si="18"/>
        <v>1406</v>
      </c>
      <c r="AE66" s="119">
        <f t="shared" si="19"/>
        <v>0.91807449355235549</v>
      </c>
    </row>
    <row r="67" spans="2:31" ht="15.75" customHeight="1" x14ac:dyDescent="0.25">
      <c r="B67" s="118">
        <v>1407</v>
      </c>
      <c r="C67" s="107">
        <f t="shared" si="14"/>
        <v>18399.727500000001</v>
      </c>
      <c r="D67" s="108">
        <f t="shared" si="14"/>
        <v>45835</v>
      </c>
      <c r="E67" s="107" t="str">
        <f t="shared" si="14"/>
        <v>FE6008</v>
      </c>
      <c r="F67" s="193"/>
      <c r="G67" s="193"/>
      <c r="H67" s="193"/>
      <c r="I67" s="193"/>
      <c r="J67" s="193"/>
      <c r="K67" s="193"/>
      <c r="L67" s="193">
        <f>6729.55-ROUND(L12*5%,2)</f>
        <v>6280.91</v>
      </c>
      <c r="M67" s="193">
        <f>502.5-ROUND(M12*5%,2)</f>
        <v>469</v>
      </c>
      <c r="N67" s="193">
        <f>3675.79-ROUND(N12*5%,2)</f>
        <v>3406.6</v>
      </c>
      <c r="O67" s="193">
        <f>540-ROUND(O12*5%,2)</f>
        <v>504</v>
      </c>
      <c r="P67" s="193">
        <f>417-ROUND(P12*5%,2)</f>
        <v>389.2</v>
      </c>
      <c r="Q67" s="193">
        <f>417-ROUND(Q12*5%,2)</f>
        <v>389.2</v>
      </c>
      <c r="R67" s="193">
        <f>502.5-ROUND(R12*5%,2)</f>
        <v>469</v>
      </c>
      <c r="S67" s="194">
        <f t="shared" si="21"/>
        <v>15205.194600000003</v>
      </c>
      <c r="T67" s="179">
        <f t="shared" si="20"/>
        <v>12116.410000000002</v>
      </c>
      <c r="U67" s="268">
        <v>208.5</v>
      </c>
      <c r="V67" s="269">
        <v>208.5</v>
      </c>
      <c r="W67" s="270">
        <v>4135.2699999999995</v>
      </c>
      <c r="X67" s="185"/>
      <c r="Y67" s="138">
        <v>3297.2846</v>
      </c>
      <c r="Z67" s="186">
        <f t="shared" si="22"/>
        <v>19757.464599999999</v>
      </c>
      <c r="AA67" s="181">
        <f t="shared" si="15"/>
        <v>1.0737911526135373</v>
      </c>
      <c r="AB67" s="122">
        <f t="shared" ca="1" si="16"/>
        <v>8</v>
      </c>
      <c r="AC67" s="122">
        <f t="shared" ca="1" si="17"/>
        <v>28</v>
      </c>
      <c r="AD67" s="106">
        <f t="shared" si="18"/>
        <v>1407</v>
      </c>
      <c r="AE67" s="119">
        <f t="shared" si="19"/>
        <v>1.0737911526135373</v>
      </c>
    </row>
    <row r="68" spans="2:31" ht="15.75" customHeight="1" x14ac:dyDescent="0.25">
      <c r="B68" s="118">
        <v>1408</v>
      </c>
      <c r="C68" s="107">
        <f t="shared" si="14"/>
        <v>43718.934000000001</v>
      </c>
      <c r="D68" s="108">
        <f t="shared" si="14"/>
        <v>45866</v>
      </c>
      <c r="E68" s="107" t="str">
        <f t="shared" si="14"/>
        <v>NEXA005</v>
      </c>
      <c r="F68" s="193"/>
      <c r="G68" s="193"/>
      <c r="H68" s="193"/>
      <c r="I68" s="193"/>
      <c r="J68" s="193"/>
      <c r="K68" s="193"/>
      <c r="L68" s="193">
        <f>175.39-ROUND(L13*10%,2)</f>
        <v>152</v>
      </c>
      <c r="M68" s="193">
        <f>5240.27-ROUND(M13*10%,2)</f>
        <v>4541.5700000000006</v>
      </c>
      <c r="N68" s="193">
        <f>3660.27-ROUND(N13*10%,2)</f>
        <v>3169.86</v>
      </c>
      <c r="O68" s="193">
        <f>5893.3-ROUND(O13*10%,2)</f>
        <v>5102.1100000000006</v>
      </c>
      <c r="P68" s="193">
        <f>3532.94-ROUND(P13*10%,2)</f>
        <v>3060.31</v>
      </c>
      <c r="Q68" s="193">
        <f>7081.15-ROUND(Q13*10%,2)</f>
        <v>6134.25</v>
      </c>
      <c r="R68" s="193">
        <f>3766.4-ROUND(R13*10%,2)</f>
        <v>3262.59</v>
      </c>
      <c r="S68" s="194">
        <f t="shared" si="21"/>
        <v>32603.730104999999</v>
      </c>
      <c r="T68" s="179">
        <f t="shared" si="20"/>
        <v>26632.949999999997</v>
      </c>
      <c r="U68" s="268">
        <v>1210.26</v>
      </c>
      <c r="V68" s="269">
        <v>1471.61</v>
      </c>
      <c r="W68" s="270">
        <v>35037.729999999996</v>
      </c>
      <c r="X68" s="185"/>
      <c r="Y68" s="138">
        <v>7181.040105</v>
      </c>
      <c r="Z68" s="186">
        <f t="shared" si="22"/>
        <v>70323.330105000001</v>
      </c>
      <c r="AA68" s="181">
        <f t="shared" si="15"/>
        <v>1.6085325892209541</v>
      </c>
      <c r="AB68" s="122">
        <f t="shared" ca="1" si="16"/>
        <v>7</v>
      </c>
      <c r="AC68" s="122">
        <f t="shared" ca="1" si="17"/>
        <v>29</v>
      </c>
      <c r="AD68" s="106">
        <f t="shared" si="18"/>
        <v>1408</v>
      </c>
      <c r="AE68" s="119">
        <f t="shared" si="19"/>
        <v>1.6085325892209541</v>
      </c>
    </row>
    <row r="69" spans="2:31" ht="15.75" customHeight="1" x14ac:dyDescent="0.25">
      <c r="B69" s="118">
        <v>1409</v>
      </c>
      <c r="C69" s="107">
        <f t="shared" si="14"/>
        <v>33219.774000000005</v>
      </c>
      <c r="D69" s="108">
        <f t="shared" si="14"/>
        <v>45896</v>
      </c>
      <c r="E69" s="107" t="str">
        <f t="shared" si="14"/>
        <v>NEXA006</v>
      </c>
      <c r="F69" s="193"/>
      <c r="G69" s="193"/>
      <c r="H69" s="193"/>
      <c r="I69" s="193"/>
      <c r="J69" s="193"/>
      <c r="K69" s="193"/>
      <c r="L69" s="193"/>
      <c r="M69" s="193">
        <f>186.75-ROUND(M14*10%,2)</f>
        <v>161.85</v>
      </c>
      <c r="N69" s="193">
        <f>1388.55-ROUND(N14*10%,2)</f>
        <v>1203.4099999999999</v>
      </c>
      <c r="O69" s="193">
        <f>1475.74-ROUND(O14*10%,2)</f>
        <v>1278.97</v>
      </c>
      <c r="P69" s="193">
        <f>2062.63-ROUND(P14*10%,2)</f>
        <v>1787.6100000000001</v>
      </c>
      <c r="Q69" s="193">
        <f>2619.68-ROUND(Q14*10%,2)</f>
        <v>2269.7999999999997</v>
      </c>
      <c r="R69" s="193">
        <f>3146.32-ROUND(R14*10%,2)</f>
        <v>2725.6400000000003</v>
      </c>
      <c r="S69" s="194">
        <f t="shared" si="21"/>
        <v>18149.226035</v>
      </c>
      <c r="T69" s="179">
        <f t="shared" si="20"/>
        <v>11325.89</v>
      </c>
      <c r="U69" s="268">
        <v>1898.61</v>
      </c>
      <c r="V69" s="269">
        <v>1197.22</v>
      </c>
      <c r="W69" s="270">
        <v>33890.660000000003</v>
      </c>
      <c r="X69" s="185"/>
      <c r="Y69" s="138">
        <v>8721.9460350000008</v>
      </c>
      <c r="Z69" s="186">
        <f t="shared" si="22"/>
        <v>55135.716035000005</v>
      </c>
      <c r="AA69" s="181">
        <f t="shared" si="15"/>
        <v>1.6597258017167726</v>
      </c>
      <c r="AB69" s="122">
        <f t="shared" ca="1" si="16"/>
        <v>6</v>
      </c>
      <c r="AC69" s="122">
        <f t="shared" ca="1" si="17"/>
        <v>30</v>
      </c>
      <c r="AD69" s="106">
        <f t="shared" si="18"/>
        <v>1409</v>
      </c>
      <c r="AE69" s="119">
        <f t="shared" si="19"/>
        <v>1.6597258017167726</v>
      </c>
    </row>
    <row r="70" spans="2:31" ht="15.75" customHeight="1" x14ac:dyDescent="0.25">
      <c r="B70" s="118">
        <v>1410</v>
      </c>
      <c r="C70" s="107">
        <f t="shared" si="14"/>
        <v>42988.931999999993</v>
      </c>
      <c r="D70" s="108">
        <f t="shared" si="14"/>
        <v>45930</v>
      </c>
      <c r="E70" s="107" t="str">
        <f t="shared" si="14"/>
        <v>NEXA007</v>
      </c>
      <c r="F70" s="193"/>
      <c r="G70" s="193"/>
      <c r="H70" s="193"/>
      <c r="I70" s="193"/>
      <c r="J70" s="193"/>
      <c r="K70" s="193"/>
      <c r="L70" s="193"/>
      <c r="M70" s="193"/>
      <c r="N70" s="193"/>
      <c r="O70" s="193">
        <f>2100-ROUND(O15*10%,2)</f>
        <v>1820</v>
      </c>
      <c r="P70" s="193">
        <f>1971-ROUND(P15*10%,2)</f>
        <v>1708.2</v>
      </c>
      <c r="Q70" s="193">
        <f>2208-ROUND(Q15*10%,2)</f>
        <v>1913.6</v>
      </c>
      <c r="R70" s="193">
        <f>4090.78-ROUND(R15*10%,2)</f>
        <v>3545.34</v>
      </c>
      <c r="S70" s="194">
        <f t="shared" si="21"/>
        <v>8987.14</v>
      </c>
      <c r="T70" s="179">
        <f t="shared" si="20"/>
        <v>10294.39</v>
      </c>
      <c r="U70" s="268">
        <v>1307.25</v>
      </c>
      <c r="V70" s="269">
        <v>1010.53</v>
      </c>
      <c r="W70" s="270">
        <v>14174.219999999998</v>
      </c>
      <c r="X70" s="185"/>
      <c r="Y70" s="138"/>
      <c r="Z70" s="186">
        <f t="shared" si="22"/>
        <v>25479.14</v>
      </c>
      <c r="AA70" s="181">
        <f t="shared" si="15"/>
        <v>0.59269069536316932</v>
      </c>
      <c r="AB70" s="122">
        <f t="shared" ca="1" si="16"/>
        <v>5</v>
      </c>
      <c r="AC70" s="122">
        <f t="shared" ca="1" si="17"/>
        <v>31</v>
      </c>
      <c r="AD70" s="106">
        <f t="shared" si="18"/>
        <v>1410</v>
      </c>
      <c r="AE70" s="119">
        <f t="shared" si="19"/>
        <v>0.59269069536316932</v>
      </c>
    </row>
    <row r="71" spans="2:31" ht="15.75" customHeight="1" x14ac:dyDescent="0.25">
      <c r="B71" s="118">
        <v>1411</v>
      </c>
      <c r="C71" s="107">
        <f t="shared" si="14"/>
        <v>42000.21</v>
      </c>
      <c r="D71" s="108">
        <f t="shared" si="14"/>
        <v>45959</v>
      </c>
      <c r="E71" s="107" t="str">
        <f t="shared" si="14"/>
        <v>NEXA011</v>
      </c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>
        <f>1272.84-ROUND(P16*10%,2)</f>
        <v>1103.1299999999999</v>
      </c>
      <c r="Q71" s="193">
        <f>3395.3-ROUND(Q16*10%,2)</f>
        <v>2942.59</v>
      </c>
      <c r="R71" s="193">
        <f>1767.71-ROUND(R16*10%,2)</f>
        <v>1532.01</v>
      </c>
      <c r="S71" s="194">
        <f t="shared" si="21"/>
        <v>5577.7300000000005</v>
      </c>
      <c r="T71" s="179">
        <f t="shared" si="20"/>
        <v>6220.85</v>
      </c>
      <c r="U71" s="268">
        <v>643.12</v>
      </c>
      <c r="V71" s="269">
        <v>1445.21</v>
      </c>
      <c r="W71" s="270">
        <v>22370.500000000022</v>
      </c>
      <c r="X71" s="185"/>
      <c r="Y71" s="138"/>
      <c r="Z71" s="186">
        <f t="shared" si="22"/>
        <v>30036.560000000023</v>
      </c>
      <c r="AA71" s="181">
        <f t="shared" si="15"/>
        <v>0.71515261471311753</v>
      </c>
      <c r="AB71" s="122">
        <f t="shared" ca="1" si="16"/>
        <v>4</v>
      </c>
      <c r="AC71" s="122">
        <f t="shared" ca="1" si="17"/>
        <v>32</v>
      </c>
      <c r="AD71" s="106">
        <f t="shared" si="18"/>
        <v>1411</v>
      </c>
      <c r="AE71" s="119">
        <f t="shared" si="19"/>
        <v>0.71515261471311753</v>
      </c>
    </row>
    <row r="72" spans="2:31" ht="15.75" customHeight="1" x14ac:dyDescent="0.25">
      <c r="B72" s="149">
        <v>1412</v>
      </c>
      <c r="C72" s="158">
        <f t="shared" si="14"/>
        <v>31405.478999999999</v>
      </c>
      <c r="D72" s="159">
        <f t="shared" si="14"/>
        <v>45986</v>
      </c>
      <c r="E72" s="158" t="str">
        <f t="shared" si="14"/>
        <v>OPEN</v>
      </c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>
        <f>5555.93-ROUND(Q17*10%,2)</f>
        <v>4815.1400000000003</v>
      </c>
      <c r="R72" s="195">
        <f>1079.59-ROUND(R17*10%,2)</f>
        <v>935.63999999999987</v>
      </c>
      <c r="S72" s="196">
        <f t="shared" si="21"/>
        <v>5750.7800000000007</v>
      </c>
      <c r="T72" s="179">
        <f t="shared" si="20"/>
        <v>7721.7800000000007</v>
      </c>
      <c r="U72" s="268">
        <v>1971</v>
      </c>
      <c r="V72" s="269">
        <v>862.09</v>
      </c>
      <c r="W72" s="270">
        <v>13629.27</v>
      </c>
      <c r="X72" s="185"/>
      <c r="Y72" s="138"/>
      <c r="Z72" s="186">
        <f t="shared" si="22"/>
        <v>22213.14</v>
      </c>
      <c r="AA72" s="181">
        <f t="shared" si="15"/>
        <v>0.70730142342360069</v>
      </c>
      <c r="AB72" s="122">
        <v>1</v>
      </c>
      <c r="AC72" s="122">
        <f t="shared" si="17"/>
        <v>35</v>
      </c>
      <c r="AD72" s="106">
        <f t="shared" si="18"/>
        <v>1412</v>
      </c>
      <c r="AE72" s="119">
        <f t="shared" si="19"/>
        <v>0.70730142342360069</v>
      </c>
    </row>
    <row r="73" spans="2:31" ht="15.75" customHeight="1" x14ac:dyDescent="0.25">
      <c r="B73" s="149">
        <v>1413</v>
      </c>
      <c r="C73" s="158">
        <v>45769.06</v>
      </c>
      <c r="D73" s="159">
        <v>46020</v>
      </c>
      <c r="E73" s="158" t="s">
        <v>120</v>
      </c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6">
        <f t="shared" si="21"/>
        <v>0</v>
      </c>
      <c r="T73" s="179">
        <f t="shared" si="20"/>
        <v>336.3</v>
      </c>
      <c r="U73" s="268">
        <v>336.3</v>
      </c>
      <c r="V73" s="269">
        <v>482.94000000000005</v>
      </c>
      <c r="W73" s="270">
        <v>11745.060000000001</v>
      </c>
      <c r="X73" s="185"/>
      <c r="Y73" s="138"/>
      <c r="Z73" s="186"/>
      <c r="AA73" s="181"/>
      <c r="AB73" s="122"/>
      <c r="AC73" s="122"/>
      <c r="AD73" s="106"/>
      <c r="AE73" s="119"/>
    </row>
    <row r="74" spans="2:31" ht="15.75" customHeight="1" x14ac:dyDescent="0.25">
      <c r="B74" s="149">
        <v>1414</v>
      </c>
      <c r="C74" s="158">
        <v>45766.85</v>
      </c>
      <c r="D74" s="159">
        <v>46052</v>
      </c>
      <c r="E74" s="158" t="s">
        <v>120</v>
      </c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6">
        <f t="shared" si="21"/>
        <v>0</v>
      </c>
      <c r="T74" s="179">
        <f t="shared" si="20"/>
        <v>0</v>
      </c>
      <c r="U74" s="268">
        <v>0</v>
      </c>
      <c r="V74" s="269">
        <v>0</v>
      </c>
      <c r="W74" s="270">
        <v>0</v>
      </c>
      <c r="X74" s="185"/>
      <c r="Y74" s="138"/>
      <c r="Z74" s="186"/>
      <c r="AA74" s="181"/>
      <c r="AB74" s="122"/>
      <c r="AC74" s="122"/>
      <c r="AD74" s="106"/>
      <c r="AE74" s="119"/>
    </row>
    <row r="75" spans="2:31" ht="15.75" customHeight="1" x14ac:dyDescent="0.25">
      <c r="B75" s="118">
        <v>1501</v>
      </c>
      <c r="C75" s="107">
        <f t="shared" ref="C75:E93" si="23">C20</f>
        <v>171155.649</v>
      </c>
      <c r="D75" s="108">
        <f t="shared" si="23"/>
        <v>45719</v>
      </c>
      <c r="E75" s="107" t="str">
        <f t="shared" si="23"/>
        <v>Source001</v>
      </c>
      <c r="F75" s="193"/>
      <c r="G75" s="193"/>
      <c r="H75" s="193">
        <f>16207.18-ROUND(H20*10%,2)</f>
        <v>13891.87</v>
      </c>
      <c r="I75" s="193">
        <f>13777.53 -ROUND(I20*10%,2)</f>
        <v>11809.310000000001</v>
      </c>
      <c r="J75" s="193">
        <f>16024.05-ROUND(J20*10%,2)</f>
        <v>13734.9</v>
      </c>
      <c r="K75" s="193">
        <f>11117.33-ROUND(K20*10%,2)</f>
        <v>9533.42</v>
      </c>
      <c r="L75" s="193">
        <f>9151.24-ROUND(L20*10%,2)</f>
        <v>7820.75</v>
      </c>
      <c r="M75" s="193">
        <f>8136.75-ROUND(M20*10%,2)</f>
        <v>6990</v>
      </c>
      <c r="N75" s="193">
        <f>8467.92-ROUND(N20*10%,2)</f>
        <v>7229.6100000000006</v>
      </c>
      <c r="O75" s="193">
        <f>7854.23-ROUND(O20*10%,2)</f>
        <v>6719.3099999999995</v>
      </c>
      <c r="P75" s="193">
        <f>6986.11-ROUND(P20*10%,2)</f>
        <v>5976.46</v>
      </c>
      <c r="Q75" s="193">
        <f>6406.12-ROUND(Q20*10%,2)</f>
        <v>5490.67</v>
      </c>
      <c r="R75" s="193">
        <f>9398.83-ROUND(R20*10%,2)</f>
        <v>8084.21</v>
      </c>
      <c r="S75" s="194">
        <f t="shared" si="21"/>
        <v>97280.510000000009</v>
      </c>
      <c r="T75" s="179">
        <f t="shared" si="20"/>
        <v>102488.02</v>
      </c>
      <c r="U75" s="268">
        <v>5207.51</v>
      </c>
      <c r="V75" s="269">
        <v>3023.38</v>
      </c>
      <c r="W75" s="270">
        <v>43182.43</v>
      </c>
      <c r="X75" s="185"/>
      <c r="Y75" s="138"/>
      <c r="Z75" s="186">
        <f t="shared" si="22"/>
        <v>148693.83000000002</v>
      </c>
      <c r="AA75" s="181">
        <f t="shared" si="15"/>
        <v>0.86876378821712164</v>
      </c>
      <c r="AB75" s="122">
        <f t="shared" ref="AB75:AB91" ca="1" si="24">DATEDIF(DATE(YEAR(D75), MONTH(D75), 1), TODAY(), "m")</f>
        <v>11</v>
      </c>
      <c r="AC75" s="122">
        <f t="shared" ca="1" si="17"/>
        <v>25</v>
      </c>
      <c r="AD75" s="106">
        <f t="shared" ref="AD75:AD95" si="25">B75</f>
        <v>1501</v>
      </c>
      <c r="AE75" s="119">
        <f t="shared" ref="AE75:AE95" si="26">Z75/C75</f>
        <v>0.86876378821712164</v>
      </c>
    </row>
    <row r="76" spans="2:31" ht="15.75" customHeight="1" x14ac:dyDescent="0.25">
      <c r="B76" s="118" t="s">
        <v>39</v>
      </c>
      <c r="C76" s="107">
        <f t="shared" si="23"/>
        <v>170606.64599999998</v>
      </c>
      <c r="D76" s="108">
        <f t="shared" si="23"/>
        <v>45747</v>
      </c>
      <c r="E76" s="107" t="str">
        <f t="shared" si="23"/>
        <v>Source002</v>
      </c>
      <c r="F76" s="193"/>
      <c r="G76" s="193"/>
      <c r="H76" s="193"/>
      <c r="I76" s="193">
        <f>17660.56 -ROUND(I21*10%,2)</f>
        <v>15137.62</v>
      </c>
      <c r="J76" s="193">
        <f>9920.9-ROUND(J21*10%,2)</f>
        <v>8503.619999999999</v>
      </c>
      <c r="K76" s="193">
        <f>5920.77 -ROUND(K21*10%,2)</f>
        <v>5074.9400000000005</v>
      </c>
      <c r="L76" s="193">
        <f>7589.11-ROUND(L21*10%,2)</f>
        <v>6456.86</v>
      </c>
      <c r="M76" s="193">
        <f>8287.19-ROUND(M21*10%,2)</f>
        <v>7055.5800000000008</v>
      </c>
      <c r="N76" s="193">
        <f>4687.2-ROUND(N21*10%,2)</f>
        <v>4005.16</v>
      </c>
      <c r="O76" s="193">
        <f>7871.99-ROUND(O21*10%,2)</f>
        <v>6666.36</v>
      </c>
      <c r="P76" s="193">
        <f>4913.2-ROUND(P21*10%,2)</f>
        <v>4200.25</v>
      </c>
      <c r="Q76" s="193">
        <f>5023.09-ROUND(Q21*10%,2)</f>
        <v>4281.3999999999996</v>
      </c>
      <c r="R76" s="193">
        <f>8298.94-ROUND(R21*10%,2)</f>
        <v>7099.6600000000008</v>
      </c>
      <c r="S76" s="194">
        <f t="shared" si="21"/>
        <v>83903.708654999995</v>
      </c>
      <c r="T76" s="179">
        <f t="shared" si="20"/>
        <v>68755.259999999995</v>
      </c>
      <c r="U76" s="268">
        <v>273.81</v>
      </c>
      <c r="V76" s="269">
        <v>3530.03</v>
      </c>
      <c r="W76" s="270">
        <v>50892.659999999989</v>
      </c>
      <c r="X76" s="185"/>
      <c r="Y76" s="138">
        <v>15422.258655000001</v>
      </c>
      <c r="Z76" s="186">
        <f t="shared" si="22"/>
        <v>138600.20865499999</v>
      </c>
      <c r="AA76" s="181">
        <f t="shared" si="15"/>
        <v>0.81239630403964458</v>
      </c>
      <c r="AB76" s="122">
        <f t="shared" ca="1" si="24"/>
        <v>11</v>
      </c>
      <c r="AC76" s="122">
        <f t="shared" ca="1" si="17"/>
        <v>25</v>
      </c>
      <c r="AD76" s="106" t="str">
        <f t="shared" si="25"/>
        <v>1502A</v>
      </c>
      <c r="AE76" s="119">
        <f t="shared" si="26"/>
        <v>0.81239630403964458</v>
      </c>
    </row>
    <row r="77" spans="2:31" ht="15.75" customHeight="1" x14ac:dyDescent="0.25">
      <c r="B77" s="118" t="s">
        <v>41</v>
      </c>
      <c r="C77" s="107">
        <f t="shared" si="23"/>
        <v>170939.05499999999</v>
      </c>
      <c r="D77" s="108">
        <f t="shared" si="23"/>
        <v>45747</v>
      </c>
      <c r="E77" s="107" t="str">
        <f t="shared" si="23"/>
        <v>FE6004</v>
      </c>
      <c r="F77" s="193"/>
      <c r="G77" s="193"/>
      <c r="H77" s="193">
        <f>94.5-ROUND(H22*5%,2)</f>
        <v>87.75</v>
      </c>
      <c r="I77" s="193">
        <f>13058.88-ROUND(I22*5%,2)</f>
        <v>12126.099999999999</v>
      </c>
      <c r="J77" s="193">
        <f>19775.06-ROUND(J22*5%,2)</f>
        <v>18362.550000000003</v>
      </c>
      <c r="K77" s="193">
        <f>17786.92-ROUND(K22*5%,2)</f>
        <v>16516.419999999998</v>
      </c>
      <c r="L77" s="193">
        <f>16220.74-ROUND(L22*5%,2)</f>
        <v>15028.17</v>
      </c>
      <c r="M77" s="193">
        <f>14236.21-ROUND(M22*5%,2)</f>
        <v>13178.81</v>
      </c>
      <c r="N77" s="193">
        <f>10988.45-ROUND(N22*5%,2)</f>
        <v>10179.220000000001</v>
      </c>
      <c r="O77" s="193">
        <f>12241.67-ROUND(O22*5%,2)</f>
        <v>11315.55</v>
      </c>
      <c r="P77" s="193">
        <f>5025.33-ROUND(P22*5%,2)</f>
        <v>4666.04</v>
      </c>
      <c r="Q77" s="193">
        <f>5138.37-ROUND(Q22*5%,2)</f>
        <v>4762.47</v>
      </c>
      <c r="R77" s="193">
        <f>8798.99-ROUND(R22*5%,2)</f>
        <v>8161.67</v>
      </c>
      <c r="S77" s="194">
        <f t="shared" si="21"/>
        <v>127519.61906625</v>
      </c>
      <c r="T77" s="179">
        <f t="shared" si="20"/>
        <v>116472.45</v>
      </c>
      <c r="U77" s="268">
        <v>2087.6999999999998</v>
      </c>
      <c r="V77" s="269">
        <v>2542.64</v>
      </c>
      <c r="W77" s="270">
        <v>48208.340000000004</v>
      </c>
      <c r="X77" s="185"/>
      <c r="Y77" s="138">
        <v>13134.869066249999</v>
      </c>
      <c r="Z77" s="186">
        <f t="shared" si="22"/>
        <v>180358.29906624998</v>
      </c>
      <c r="AA77" s="181">
        <f t="shared" si="15"/>
        <v>1.0551029375133143</v>
      </c>
      <c r="AB77" s="122">
        <f t="shared" ca="1" si="24"/>
        <v>11</v>
      </c>
      <c r="AC77" s="122">
        <f t="shared" ca="1" si="17"/>
        <v>25</v>
      </c>
      <c r="AD77" s="106" t="str">
        <f t="shared" si="25"/>
        <v>1502B</v>
      </c>
      <c r="AE77" s="119">
        <f t="shared" si="26"/>
        <v>1.0551029375133143</v>
      </c>
    </row>
    <row r="78" spans="2:31" ht="15.75" customHeight="1" x14ac:dyDescent="0.25">
      <c r="B78" s="118" t="s">
        <v>43</v>
      </c>
      <c r="C78" s="107">
        <f t="shared" si="23"/>
        <v>170821.31849999999</v>
      </c>
      <c r="D78" s="108">
        <f t="shared" si="23"/>
        <v>45776</v>
      </c>
      <c r="E78" s="107" t="str">
        <f t="shared" si="23"/>
        <v>Source003</v>
      </c>
      <c r="F78" s="193"/>
      <c r="G78" s="193"/>
      <c r="H78" s="193"/>
      <c r="I78" s="193"/>
      <c r="J78" s="193">
        <f>7713.05 -ROUND(J23*10%,2)</f>
        <v>6611.1900000000005</v>
      </c>
      <c r="K78" s="193">
        <f>8062.4 -ROUND(K23*10%,2)</f>
        <v>6910.6299999999992</v>
      </c>
      <c r="L78" s="193">
        <f>8375.68-ROUND(L23*10%,2)</f>
        <v>7179.1500000000005</v>
      </c>
      <c r="M78" s="193">
        <f>8891.32-ROUND(M23*10%,2)</f>
        <v>7563.21</v>
      </c>
      <c r="N78" s="193">
        <f>7780.8-ROUND(N23*10%,2)</f>
        <v>6644.88</v>
      </c>
      <c r="O78" s="193">
        <f>8210.55-ROUND(O23*10%,2)</f>
        <v>6996.2099999999991</v>
      </c>
      <c r="P78" s="193">
        <f>5201.77-ROUND(P23*10%,2)</f>
        <v>4445.0700000000006</v>
      </c>
      <c r="Q78" s="193">
        <f>4571.96-ROUND(Q23*10%,2)</f>
        <v>3904.54</v>
      </c>
      <c r="R78" s="193">
        <f>5796.91-ROUND(R23*10%,2)</f>
        <v>4952.79</v>
      </c>
      <c r="S78" s="194">
        <f t="shared" si="21"/>
        <v>76356.383900000001</v>
      </c>
      <c r="T78" s="179">
        <f t="shared" si="20"/>
        <v>57224.28</v>
      </c>
      <c r="U78" s="268">
        <v>2016.61</v>
      </c>
      <c r="V78" s="269">
        <v>2239.6799999999994</v>
      </c>
      <c r="W78" s="270">
        <v>41804.749999999993</v>
      </c>
      <c r="X78" s="185"/>
      <c r="Y78" s="138">
        <v>21148.713900000002</v>
      </c>
      <c r="Z78" s="186">
        <f t="shared" si="22"/>
        <v>122417.42389999999</v>
      </c>
      <c r="AA78" s="181">
        <f t="shared" si="15"/>
        <v>0.71664020026868014</v>
      </c>
      <c r="AB78" s="122">
        <f t="shared" ca="1" si="24"/>
        <v>10</v>
      </c>
      <c r="AC78" s="122">
        <f t="shared" ca="1" si="17"/>
        <v>26</v>
      </c>
      <c r="AD78" s="106" t="str">
        <f t="shared" si="25"/>
        <v>1503A</v>
      </c>
      <c r="AE78" s="119">
        <f t="shared" si="26"/>
        <v>0.71664020026868014</v>
      </c>
    </row>
    <row r="79" spans="2:31" ht="15.75" customHeight="1" x14ac:dyDescent="0.25">
      <c r="B79" s="118" t="s">
        <v>45</v>
      </c>
      <c r="C79" s="107">
        <f t="shared" si="23"/>
        <v>170908.46849999999</v>
      </c>
      <c r="D79" s="108">
        <f t="shared" si="23"/>
        <v>45776</v>
      </c>
      <c r="E79" s="107" t="str">
        <f t="shared" si="23"/>
        <v>FE6005</v>
      </c>
      <c r="F79" s="193"/>
      <c r="G79" s="193"/>
      <c r="H79" s="193"/>
      <c r="I79" s="193"/>
      <c r="J79" s="193">
        <f>5620.38-ROUND(J24*5%,2)</f>
        <v>5218.92</v>
      </c>
      <c r="K79" s="193">
        <f>4639.49-ROUND(K24*5%,2)</f>
        <v>4308.09</v>
      </c>
      <c r="L79" s="193">
        <f>8287.13-ROUND(L24*5%,2)</f>
        <v>7695.1899999999987</v>
      </c>
      <c r="M79" s="193">
        <f>10848-ROUND(M24*5%,2)</f>
        <v>10025.700000000001</v>
      </c>
      <c r="N79" s="193">
        <f>6351.8-ROUND(N24*5%,2)</f>
        <v>5888.85</v>
      </c>
      <c r="O79" s="193">
        <f>7719.41-ROUND(O24*5%,2)</f>
        <v>7146.41</v>
      </c>
      <c r="P79" s="193">
        <f>4826.86-ROUND(P24*5%,2)</f>
        <v>4475.2999999999993</v>
      </c>
      <c r="Q79" s="193">
        <f>4739.98-ROUND(Q24*5%,2)</f>
        <v>4394.7599999999993</v>
      </c>
      <c r="R79" s="193">
        <f>4914.22-ROUND(R24*5%,2)</f>
        <v>4556.41</v>
      </c>
      <c r="S79" s="194">
        <f t="shared" si="21"/>
        <v>71867.19574000001</v>
      </c>
      <c r="T79" s="179">
        <f t="shared" si="20"/>
        <v>55969.26</v>
      </c>
      <c r="U79" s="268">
        <v>2259.63</v>
      </c>
      <c r="V79" s="269">
        <v>1760.08</v>
      </c>
      <c r="W79" s="270">
        <v>41624.360000000022</v>
      </c>
      <c r="X79" s="185"/>
      <c r="Y79" s="138">
        <v>18157.565740000002</v>
      </c>
      <c r="Z79" s="186">
        <f t="shared" si="22"/>
        <v>117511.26574000003</v>
      </c>
      <c r="AA79" s="181">
        <f t="shared" si="15"/>
        <v>0.68756842051978273</v>
      </c>
      <c r="AB79" s="122">
        <f t="shared" ca="1" si="24"/>
        <v>10</v>
      </c>
      <c r="AC79" s="122">
        <f t="shared" ca="1" si="17"/>
        <v>26</v>
      </c>
      <c r="AD79" s="106" t="str">
        <f t="shared" si="25"/>
        <v>1503B</v>
      </c>
      <c r="AE79" s="119">
        <f t="shared" si="26"/>
        <v>0.68756842051978273</v>
      </c>
    </row>
    <row r="80" spans="2:31" ht="15.75" customHeight="1" x14ac:dyDescent="0.25">
      <c r="B80" s="118" t="s">
        <v>47</v>
      </c>
      <c r="C80" s="107">
        <f t="shared" si="23"/>
        <v>170652.42600000001</v>
      </c>
      <c r="D80" s="108">
        <f t="shared" si="23"/>
        <v>45806</v>
      </c>
      <c r="E80" s="107" t="str">
        <f t="shared" si="23"/>
        <v>FE6006</v>
      </c>
      <c r="F80" s="193"/>
      <c r="G80" s="193"/>
      <c r="H80" s="193"/>
      <c r="I80" s="193"/>
      <c r="J80" s="193"/>
      <c r="K80" s="193">
        <f>11088.31 -ROUND(K25*10%,2)</f>
        <v>9504.26</v>
      </c>
      <c r="L80" s="193">
        <f>5130.8-ROUND(L25*10%,2)</f>
        <v>4397.82</v>
      </c>
      <c r="M80" s="193">
        <f>6379.73-ROUND(M25*5%,2)</f>
        <v>5924.04</v>
      </c>
      <c r="N80" s="193">
        <f>5261.99-ROUND(N25*5%,2)</f>
        <v>4883.38</v>
      </c>
      <c r="O80" s="193">
        <f>9427.81-ROUND(O25*5%,2)</f>
        <v>8750.89</v>
      </c>
      <c r="P80" s="193">
        <f>5547.33-ROUND(P25*5%,2)</f>
        <v>5144.32</v>
      </c>
      <c r="Q80" s="193">
        <f>6650.85-ROUND(Q25*5%,2)</f>
        <v>6165.9800000000005</v>
      </c>
      <c r="R80" s="193">
        <f>4275.41-ROUND(R25*5%,2)</f>
        <v>3967.73</v>
      </c>
      <c r="S80" s="194">
        <f t="shared" si="21"/>
        <v>65284.856583750006</v>
      </c>
      <c r="T80" s="179">
        <f t="shared" si="20"/>
        <v>50709.030000000006</v>
      </c>
      <c r="U80" s="268">
        <v>1970.61</v>
      </c>
      <c r="V80" s="269">
        <v>3102.5599999999995</v>
      </c>
      <c r="W80" s="270">
        <v>52752.029999999984</v>
      </c>
      <c r="X80" s="185"/>
      <c r="Y80" s="138">
        <v>16546.436583749997</v>
      </c>
      <c r="Z80" s="186">
        <f t="shared" si="22"/>
        <v>123110.05658374999</v>
      </c>
      <c r="AA80" s="181">
        <f t="shared" si="15"/>
        <v>0.72140818310868893</v>
      </c>
      <c r="AB80" s="122">
        <f t="shared" ca="1" si="24"/>
        <v>9</v>
      </c>
      <c r="AC80" s="122">
        <f t="shared" ca="1" si="17"/>
        <v>27</v>
      </c>
      <c r="AD80" s="106" t="str">
        <f t="shared" si="25"/>
        <v>1504A</v>
      </c>
      <c r="AE80" s="119">
        <f t="shared" si="26"/>
        <v>0.72140818310868893</v>
      </c>
    </row>
    <row r="81" spans="2:31" ht="15.75" customHeight="1" x14ac:dyDescent="0.25">
      <c r="B81" s="118" t="s">
        <v>49</v>
      </c>
      <c r="C81" s="107">
        <f t="shared" si="23"/>
        <v>170790.97350000002</v>
      </c>
      <c r="D81" s="108">
        <f t="shared" si="23"/>
        <v>45806</v>
      </c>
      <c r="E81" s="107" t="str">
        <f t="shared" si="23"/>
        <v>FE6007</v>
      </c>
      <c r="F81" s="193"/>
      <c r="G81" s="193"/>
      <c r="H81" s="193"/>
      <c r="I81" s="193"/>
      <c r="J81" s="193"/>
      <c r="K81" s="193">
        <f>7961.67 -ROUND(K26*10%,2)</f>
        <v>6824.29</v>
      </c>
      <c r="L81" s="193">
        <f>11992.18-ROUND(L26*10%,2)</f>
        <v>10279.01</v>
      </c>
      <c r="M81" s="193">
        <f>6929.25-ROUND(M26*5%,2)</f>
        <v>6434.3</v>
      </c>
      <c r="N81" s="193">
        <f>5256.78-ROUND(N26*5%,2)</f>
        <v>4880.58</v>
      </c>
      <c r="O81" s="193">
        <f>7943.69-ROUND(O26*5%,2)</f>
        <v>7373.0099999999993</v>
      </c>
      <c r="P81" s="193">
        <f>5672.37-ROUND(P26*5%,2)</f>
        <v>5263.6</v>
      </c>
      <c r="Q81" s="193">
        <f>5051.85-ROUND(Q26*5%,2)</f>
        <v>4689.25</v>
      </c>
      <c r="R81" s="193">
        <f>7194.28-ROUND(R26*5%,2)</f>
        <v>6676.28</v>
      </c>
      <c r="S81" s="194">
        <f t="shared" si="21"/>
        <v>72268.436598750006</v>
      </c>
      <c r="T81" s="179">
        <f t="shared" si="20"/>
        <v>53907.32</v>
      </c>
      <c r="U81" s="268">
        <v>1487</v>
      </c>
      <c r="V81" s="269">
        <v>2766.4399999999996</v>
      </c>
      <c r="W81" s="270">
        <v>52621.45</v>
      </c>
      <c r="X81" s="185"/>
      <c r="Y81" s="138">
        <v>19848.116598750003</v>
      </c>
      <c r="Z81" s="186">
        <f t="shared" si="22"/>
        <v>129143.32659874999</v>
      </c>
      <c r="AA81" s="181">
        <f t="shared" si="15"/>
        <v>0.75614843075269411</v>
      </c>
      <c r="AB81" s="122">
        <f t="shared" ca="1" si="24"/>
        <v>9</v>
      </c>
      <c r="AC81" s="122">
        <f t="shared" ca="1" si="17"/>
        <v>27</v>
      </c>
      <c r="AD81" s="106" t="str">
        <f t="shared" si="25"/>
        <v>1504B</v>
      </c>
      <c r="AE81" s="119">
        <f t="shared" si="26"/>
        <v>0.75614843075269411</v>
      </c>
    </row>
    <row r="82" spans="2:31" ht="15.75" customHeight="1" x14ac:dyDescent="0.25">
      <c r="B82" s="118" t="s">
        <v>51</v>
      </c>
      <c r="C82" s="107">
        <f t="shared" si="23"/>
        <v>170978.33550000002</v>
      </c>
      <c r="D82" s="108">
        <f t="shared" si="23"/>
        <v>45835</v>
      </c>
      <c r="E82" s="107" t="str">
        <f t="shared" si="23"/>
        <v>FUND1-001</v>
      </c>
      <c r="F82" s="193"/>
      <c r="G82" s="193"/>
      <c r="H82" s="193"/>
      <c r="I82" s="193"/>
      <c r="J82" s="193"/>
      <c r="K82" s="193"/>
      <c r="L82" s="193">
        <f>7321.1-ROUND(L27*10%,2)</f>
        <v>6275.2300000000005</v>
      </c>
      <c r="M82" s="193">
        <f>4011.63-ROUND(M27*10%,2)</f>
        <v>3438.54</v>
      </c>
      <c r="N82" s="193">
        <f>7145.93-ROUND(N27*10%,2)</f>
        <v>6114.8200000000006</v>
      </c>
      <c r="O82" s="193">
        <f>9405.18-ROUND(O27*10%,2)</f>
        <v>8032.9800000000005</v>
      </c>
      <c r="P82" s="193">
        <f>5430.78-ROUND(P27*10%,2)</f>
        <v>4644.41</v>
      </c>
      <c r="Q82" s="193">
        <f>6402.77-ROUND(Q27*10%,2)</f>
        <v>5478.77</v>
      </c>
      <c r="R82" s="193">
        <f>6306.03-ROUND(R27*10%,2)</f>
        <v>5397.67</v>
      </c>
      <c r="S82" s="194">
        <f t="shared" si="21"/>
        <v>62989.851955000006</v>
      </c>
      <c r="T82" s="179">
        <f t="shared" si="20"/>
        <v>41540.03</v>
      </c>
      <c r="U82" s="268">
        <v>2157.61</v>
      </c>
      <c r="V82" s="269">
        <v>2511.04</v>
      </c>
      <c r="W82" s="270">
        <v>45662.879999999997</v>
      </c>
      <c r="X82" s="185"/>
      <c r="Y82" s="138">
        <v>23607.431955000007</v>
      </c>
      <c r="Z82" s="186">
        <f t="shared" si="22"/>
        <v>113321.381955</v>
      </c>
      <c r="AA82" s="181">
        <f t="shared" si="15"/>
        <v>0.66278210992994491</v>
      </c>
      <c r="AB82" s="122">
        <f t="shared" ca="1" si="24"/>
        <v>8</v>
      </c>
      <c r="AC82" s="122">
        <f t="shared" ca="1" si="17"/>
        <v>28</v>
      </c>
      <c r="AD82" s="106" t="str">
        <f t="shared" si="25"/>
        <v>1505A</v>
      </c>
      <c r="AE82" s="119">
        <f t="shared" si="26"/>
        <v>0.66278210992994491</v>
      </c>
    </row>
    <row r="83" spans="2:31" ht="15.75" customHeight="1" x14ac:dyDescent="0.25">
      <c r="B83" s="118" t="s">
        <v>53</v>
      </c>
      <c r="C83" s="107">
        <f t="shared" si="23"/>
        <v>170891.57399999999</v>
      </c>
      <c r="D83" s="108">
        <f t="shared" si="23"/>
        <v>45835</v>
      </c>
      <c r="E83" s="107" t="str">
        <f t="shared" si="23"/>
        <v>FUND1-002</v>
      </c>
      <c r="F83" s="193"/>
      <c r="G83" s="193"/>
      <c r="H83" s="193"/>
      <c r="I83" s="193"/>
      <c r="J83" s="193"/>
      <c r="K83" s="193"/>
      <c r="L83" s="193">
        <f>4755-ROUND(L28*10%,2)</f>
        <v>4075.71</v>
      </c>
      <c r="M83" s="193">
        <f>1949.45-ROUND(M28*10%,2)</f>
        <v>1670.96</v>
      </c>
      <c r="N83" s="193">
        <f>3515.6-ROUND(N28*10%,2)</f>
        <v>3008.67</v>
      </c>
      <c r="O83" s="193">
        <f>8168.71-ROUND(O28*10%,2)</f>
        <v>6978.85</v>
      </c>
      <c r="P83" s="193">
        <f>5641.25-ROUND(P28*10%,2)</f>
        <v>4813.79</v>
      </c>
      <c r="Q83" s="193">
        <f>3314.6-ROUND(Q28*10%,2)</f>
        <v>2836.34</v>
      </c>
      <c r="R83" s="193">
        <f>6340.24-ROUND(R28*10%,2)</f>
        <v>5428.17</v>
      </c>
      <c r="S83" s="194">
        <f t="shared" si="21"/>
        <v>49168.715784999993</v>
      </c>
      <c r="T83" s="179">
        <f t="shared" si="20"/>
        <v>30925.149999999998</v>
      </c>
      <c r="U83" s="268">
        <v>2112.66</v>
      </c>
      <c r="V83" s="269">
        <v>2656.3200000000011</v>
      </c>
      <c r="W83" s="270">
        <v>39116.920000000042</v>
      </c>
      <c r="X83" s="185"/>
      <c r="Y83" s="138">
        <v>20356.225784999999</v>
      </c>
      <c r="Z83" s="186">
        <f t="shared" si="22"/>
        <v>93054.615785000045</v>
      </c>
      <c r="AA83" s="181">
        <f t="shared" si="15"/>
        <v>0.54452430630078963</v>
      </c>
      <c r="AB83" s="122">
        <f t="shared" ca="1" si="24"/>
        <v>8</v>
      </c>
      <c r="AC83" s="122">
        <f t="shared" ca="1" si="17"/>
        <v>28</v>
      </c>
      <c r="AD83" s="106" t="str">
        <f t="shared" si="25"/>
        <v>1505B</v>
      </c>
      <c r="AE83" s="119">
        <f t="shared" si="26"/>
        <v>0.54452430630078963</v>
      </c>
    </row>
    <row r="84" spans="2:31" ht="15.75" customHeight="1" x14ac:dyDescent="0.25">
      <c r="B84" s="118" t="s">
        <v>55</v>
      </c>
      <c r="C84" s="107">
        <f t="shared" si="23"/>
        <v>248653.07250000001</v>
      </c>
      <c r="D84" s="108">
        <f t="shared" si="23"/>
        <v>45866</v>
      </c>
      <c r="E84" s="107" t="str">
        <f t="shared" si="23"/>
        <v>Source004</v>
      </c>
      <c r="F84" s="193"/>
      <c r="G84" s="193"/>
      <c r="H84" s="193"/>
      <c r="I84" s="193"/>
      <c r="J84" s="193"/>
      <c r="K84" s="193"/>
      <c r="L84" s="193">
        <f>0-ROUND(L29*10%,2)</f>
        <v>0</v>
      </c>
      <c r="M84" s="193">
        <f>12284.51-ROUND(M29*10%,2)</f>
        <v>10529.57</v>
      </c>
      <c r="N84" s="193">
        <f>14798.76-ROUND(N29*10%,2)</f>
        <v>12658.24</v>
      </c>
      <c r="O84" s="193">
        <f>15751.67-ROUND(O29*10%,2)</f>
        <v>13459.86</v>
      </c>
      <c r="P84" s="193">
        <f>12086.07-ROUND(P29*10%,2)</f>
        <v>10328.619999999999</v>
      </c>
      <c r="Q84" s="193">
        <f>11017.7-ROUND(Q29*10%,2)</f>
        <v>9413.35</v>
      </c>
      <c r="R84" s="193">
        <f>13526.43-ROUND(R29*10%,2)</f>
        <v>11566.39</v>
      </c>
      <c r="S84" s="194">
        <f t="shared" si="21"/>
        <v>107174.96311500002</v>
      </c>
      <c r="T84" s="179">
        <f t="shared" si="20"/>
        <v>71145.56</v>
      </c>
      <c r="U84" s="268">
        <v>3189.53</v>
      </c>
      <c r="V84" s="269">
        <v>5354.8899999999985</v>
      </c>
      <c r="W84" s="270">
        <v>90687.690000000031</v>
      </c>
      <c r="X84" s="185"/>
      <c r="Y84" s="138">
        <v>39218.933115000022</v>
      </c>
      <c r="Z84" s="186">
        <f t="shared" si="22"/>
        <v>206407.07311500004</v>
      </c>
      <c r="AA84" s="181">
        <f t="shared" si="15"/>
        <v>0.83010063394652012</v>
      </c>
      <c r="AB84" s="122">
        <f t="shared" ca="1" si="24"/>
        <v>7</v>
      </c>
      <c r="AC84" s="122">
        <f t="shared" ca="1" si="17"/>
        <v>29</v>
      </c>
      <c r="AD84" s="106" t="str">
        <f t="shared" si="25"/>
        <v>1506A</v>
      </c>
      <c r="AE84" s="119">
        <f t="shared" si="26"/>
        <v>0.83010063394652012</v>
      </c>
    </row>
    <row r="85" spans="2:31" ht="15.75" customHeight="1" x14ac:dyDescent="0.25">
      <c r="B85" s="118" t="s">
        <v>57</v>
      </c>
      <c r="C85" s="107">
        <f t="shared" si="23"/>
        <v>205543.23299999998</v>
      </c>
      <c r="D85" s="108">
        <f t="shared" si="23"/>
        <v>45866</v>
      </c>
      <c r="E85" s="107" t="str">
        <f t="shared" si="23"/>
        <v>FE6009</v>
      </c>
      <c r="F85" s="193"/>
      <c r="G85" s="193"/>
      <c r="H85" s="193"/>
      <c r="I85" s="193"/>
      <c r="J85" s="193"/>
      <c r="K85" s="193"/>
      <c r="L85" s="193">
        <f>72.41-ROUND(L30*5%,2)</f>
        <v>67.239999999999995</v>
      </c>
      <c r="M85" s="193">
        <f>6280.34-ROUND(M30*5%,2)</f>
        <v>5831.74</v>
      </c>
      <c r="N85" s="193">
        <f>11751.3-ROUND(N30*5%,2)</f>
        <v>10905.689999999999</v>
      </c>
      <c r="O85" s="193">
        <f>10131.5-ROUND(O30*5%,2)</f>
        <v>9398.1299999999992</v>
      </c>
      <c r="P85" s="193">
        <f>5793.96-ROUND(P30*5%,2)</f>
        <v>5374.81</v>
      </c>
      <c r="Q85" s="193">
        <f>7726.4-ROUND(Q30*5%,2)</f>
        <v>7163.2699999999995</v>
      </c>
      <c r="R85" s="193">
        <f>7391.11-ROUND(R30*5%,2)</f>
        <v>6856.8899999999994</v>
      </c>
      <c r="S85" s="194">
        <f t="shared" si="21"/>
        <v>76006.705116250014</v>
      </c>
      <c r="T85" s="179">
        <f t="shared" si="20"/>
        <v>49471.17</v>
      </c>
      <c r="U85" s="268">
        <v>3873.4</v>
      </c>
      <c r="V85" s="269">
        <v>3400.7900000000004</v>
      </c>
      <c r="W85" s="270">
        <v>75771.64999999998</v>
      </c>
      <c r="X85" s="185"/>
      <c r="Y85" s="138">
        <v>30408.935116250017</v>
      </c>
      <c r="Z85" s="186">
        <f t="shared" si="22"/>
        <v>159052.54511625</v>
      </c>
      <c r="AA85" s="181">
        <f t="shared" si="15"/>
        <v>0.77381552676195386</v>
      </c>
      <c r="AB85" s="122">
        <f t="shared" ca="1" si="24"/>
        <v>7</v>
      </c>
      <c r="AC85" s="122">
        <f t="shared" ca="1" si="17"/>
        <v>29</v>
      </c>
      <c r="AD85" s="106" t="str">
        <f t="shared" si="25"/>
        <v>1506B</v>
      </c>
      <c r="AE85" s="119">
        <f t="shared" si="26"/>
        <v>0.77381552676195386</v>
      </c>
    </row>
    <row r="86" spans="2:31" ht="15.75" customHeight="1" x14ac:dyDescent="0.25">
      <c r="B86" s="118" t="s">
        <v>59</v>
      </c>
      <c r="C86" s="107">
        <f t="shared" si="23"/>
        <v>137858.79449999999</v>
      </c>
      <c r="D86" s="108">
        <f t="shared" si="23"/>
        <v>45896</v>
      </c>
      <c r="E86" s="107" t="str">
        <f t="shared" si="23"/>
        <v>ITALY001</v>
      </c>
      <c r="F86" s="193"/>
      <c r="G86" s="193"/>
      <c r="H86" s="193"/>
      <c r="I86" s="193"/>
      <c r="J86" s="193"/>
      <c r="K86" s="193"/>
      <c r="L86" s="193"/>
      <c r="M86" s="197">
        <f>498.75-ROUND(M31*10%,2)-(360/2)</f>
        <v>247.5</v>
      </c>
      <c r="N86" s="193">
        <f>7107.78-ROUND(N31*10%,2)</f>
        <v>6092.38</v>
      </c>
      <c r="O86" s="193">
        <f>9217.2-ROUND(O31*10%,2)</f>
        <v>7900.4600000000009</v>
      </c>
      <c r="P86" s="197">
        <f>7667.36-ROUND(P31*10%,2)-(300/2)</f>
        <v>6411.91</v>
      </c>
      <c r="Q86" s="197">
        <f>5896.19-ROUND(Q31*10%,2)</f>
        <v>5044.7299999999996</v>
      </c>
      <c r="R86" s="197">
        <f>5773.31-ROUND(R31*10%,2)</f>
        <v>4937.5300000000007</v>
      </c>
      <c r="S86" s="194">
        <f t="shared" si="21"/>
        <v>58664.855065000018</v>
      </c>
      <c r="T86" s="179">
        <f t="shared" si="20"/>
        <v>32059.940000000002</v>
      </c>
      <c r="U86" s="268">
        <v>1425.43</v>
      </c>
      <c r="V86" s="269">
        <v>2076.9700000000003</v>
      </c>
      <c r="W86" s="270">
        <v>43224.269999999975</v>
      </c>
      <c r="X86" s="185"/>
      <c r="Y86" s="138">
        <v>28030.345065000016</v>
      </c>
      <c r="Z86" s="186">
        <f t="shared" si="22"/>
        <v>105391.52506499999</v>
      </c>
      <c r="AA86" s="181">
        <f t="shared" si="15"/>
        <v>0.76448895006839768</v>
      </c>
      <c r="AB86" s="122">
        <f t="shared" ca="1" si="24"/>
        <v>6</v>
      </c>
      <c r="AC86" s="122">
        <f t="shared" ca="1" si="17"/>
        <v>30</v>
      </c>
      <c r="AD86" s="106" t="str">
        <f t="shared" si="25"/>
        <v>1507A</v>
      </c>
      <c r="AE86" s="119">
        <f t="shared" si="26"/>
        <v>0.76448895006839768</v>
      </c>
    </row>
    <row r="87" spans="2:31" ht="15.75" customHeight="1" x14ac:dyDescent="0.25">
      <c r="B87" s="118" t="s">
        <v>61</v>
      </c>
      <c r="C87" s="107">
        <f t="shared" si="23"/>
        <v>229822.0575</v>
      </c>
      <c r="D87" s="108">
        <f t="shared" si="23"/>
        <v>45896</v>
      </c>
      <c r="E87" s="107" t="str">
        <f t="shared" si="23"/>
        <v>ITALY002</v>
      </c>
      <c r="F87" s="193"/>
      <c r="G87" s="193"/>
      <c r="H87" s="193"/>
      <c r="I87" s="193"/>
      <c r="J87" s="193"/>
      <c r="K87" s="193"/>
      <c r="L87" s="193"/>
      <c r="M87" s="197">
        <f>848.9-ROUND(M32*10%,2)-(360/2)</f>
        <v>547.63</v>
      </c>
      <c r="N87" s="193">
        <f>11401.28-ROUND(N32*10%,2)</f>
        <v>9772.5300000000007</v>
      </c>
      <c r="O87" s="193">
        <f>14752.2-ROUND(O32*10%,2)</f>
        <v>12644.75</v>
      </c>
      <c r="P87" s="197">
        <f>11097.43-ROUND(P32*10%,2)-(300/2)</f>
        <v>9355.59</v>
      </c>
      <c r="Q87" s="197">
        <f>11211.76-ROUND(Q32*10%,2)</f>
        <v>9587.89</v>
      </c>
      <c r="R87" s="197">
        <f>11722.38-ROUND(R32*10%,2)</f>
        <v>10030.629999999999</v>
      </c>
      <c r="S87" s="194">
        <f t="shared" si="21"/>
        <v>89505.16161499999</v>
      </c>
      <c r="T87" s="179">
        <f t="shared" si="20"/>
        <v>55005.299999999996</v>
      </c>
      <c r="U87" s="268">
        <v>3066.28</v>
      </c>
      <c r="V87" s="269">
        <v>4779.3199999999979</v>
      </c>
      <c r="W87" s="270">
        <v>83295.99000000002</v>
      </c>
      <c r="X87" s="185"/>
      <c r="Y87" s="138">
        <v>37566.141614999993</v>
      </c>
      <c r="Z87" s="186">
        <f t="shared" si="22"/>
        <v>180646.75161500002</v>
      </c>
      <c r="AA87" s="181">
        <f t="shared" si="15"/>
        <v>0.7860287806143238</v>
      </c>
      <c r="AB87" s="122">
        <f t="shared" ca="1" si="24"/>
        <v>6</v>
      </c>
      <c r="AC87" s="122">
        <f t="shared" ca="1" si="17"/>
        <v>30</v>
      </c>
      <c r="AD87" s="106" t="str">
        <f t="shared" si="25"/>
        <v>1507B</v>
      </c>
      <c r="AE87" s="119">
        <f t="shared" si="26"/>
        <v>0.7860287806143238</v>
      </c>
    </row>
    <row r="88" spans="2:31" ht="15.75" customHeight="1" x14ac:dyDescent="0.25">
      <c r="B88" s="118" t="s">
        <v>63</v>
      </c>
      <c r="C88" s="107">
        <f t="shared" si="23"/>
        <v>286789.8075</v>
      </c>
      <c r="D88" s="108">
        <f t="shared" si="23"/>
        <v>45930</v>
      </c>
      <c r="E88" s="107" t="str">
        <f t="shared" si="23"/>
        <v>ITALY003</v>
      </c>
      <c r="F88" s="193"/>
      <c r="G88" s="193"/>
      <c r="H88" s="193"/>
      <c r="I88" s="193"/>
      <c r="J88" s="193"/>
      <c r="K88" s="193"/>
      <c r="L88" s="193"/>
      <c r="M88" s="193"/>
      <c r="N88" s="193"/>
      <c r="O88" s="197">
        <f>8545.94-ROUND(O33*10%,2)-329.99</f>
        <v>6995.1</v>
      </c>
      <c r="P88" s="193">
        <f>6572.05-ROUND(P33*10%,2)</f>
        <v>5633.1900000000005</v>
      </c>
      <c r="Q88" s="193">
        <f>10182.36-ROUND(Q33*10%,2)</f>
        <v>8727.7400000000016</v>
      </c>
      <c r="R88" s="193">
        <f>11690.9-ROUND(R33*10%,2)</f>
        <v>10020.77</v>
      </c>
      <c r="S88" s="194">
        <f t="shared" si="21"/>
        <v>87273.626860000018</v>
      </c>
      <c r="T88" s="179">
        <f t="shared" si="20"/>
        <v>33371.79</v>
      </c>
      <c r="U88" s="268">
        <v>1994.99</v>
      </c>
      <c r="V88" s="269">
        <v>3275.0099999999998</v>
      </c>
      <c r="W88" s="270">
        <v>47691.539999999986</v>
      </c>
      <c r="X88" s="185"/>
      <c r="Y88" s="138">
        <v>55896.826860000008</v>
      </c>
      <c r="Z88" s="186">
        <f t="shared" si="22"/>
        <v>140235.16686</v>
      </c>
      <c r="AA88" s="181">
        <f t="shared" si="15"/>
        <v>0.48898239474567101</v>
      </c>
      <c r="AB88" s="122">
        <f t="shared" ca="1" si="24"/>
        <v>5</v>
      </c>
      <c r="AC88" s="122">
        <f t="shared" ca="1" si="17"/>
        <v>31</v>
      </c>
      <c r="AD88" s="106" t="str">
        <f t="shared" si="25"/>
        <v>1508A</v>
      </c>
      <c r="AE88" s="119">
        <f t="shared" si="26"/>
        <v>0.48898239474567101</v>
      </c>
    </row>
    <row r="89" spans="2:31" ht="15.75" customHeight="1" x14ac:dyDescent="0.25">
      <c r="B89" s="149" t="s">
        <v>65</v>
      </c>
      <c r="C89" s="158">
        <f t="shared" si="23"/>
        <v>241692.64350000001</v>
      </c>
      <c r="D89" s="159">
        <f t="shared" si="23"/>
        <v>45930</v>
      </c>
      <c r="E89" s="158" t="str">
        <f t="shared" si="23"/>
        <v>OPEN</v>
      </c>
      <c r="F89" s="195"/>
      <c r="G89" s="195"/>
      <c r="H89" s="195"/>
      <c r="I89" s="195"/>
      <c r="J89" s="195"/>
      <c r="K89" s="195"/>
      <c r="L89" s="195"/>
      <c r="M89" s="195"/>
      <c r="N89" s="195"/>
      <c r="O89" s="195">
        <f>6885.12-ROUND(O34*10%,2)</f>
        <v>5901.53</v>
      </c>
      <c r="P89" s="195">
        <f>9360.07-ROUND(P34*10%,2)</f>
        <v>8022.91</v>
      </c>
      <c r="Q89" s="195">
        <f>8477-ROUND(Q34*10%,2)</f>
        <v>7266</v>
      </c>
      <c r="R89" s="195">
        <f>5339.76-ROUND(R34*10%,2)</f>
        <v>4576.9400000000005</v>
      </c>
      <c r="S89" s="196">
        <f t="shared" si="21"/>
        <v>72759.95696000001</v>
      </c>
      <c r="T89" s="179">
        <f t="shared" si="20"/>
        <v>26691.37</v>
      </c>
      <c r="U89" s="268">
        <v>923.99</v>
      </c>
      <c r="V89" s="269">
        <v>2799.6899999999996</v>
      </c>
      <c r="W89" s="270">
        <v>42949.32</v>
      </c>
      <c r="X89" s="185"/>
      <c r="Y89" s="138">
        <v>46992.576960000013</v>
      </c>
      <c r="Z89" s="186">
        <f t="shared" si="22"/>
        <v>119432.95696000001</v>
      </c>
      <c r="AA89" s="181">
        <f t="shared" si="15"/>
        <v>0.49415222255202818</v>
      </c>
      <c r="AB89" s="122">
        <f t="shared" ca="1" si="24"/>
        <v>5</v>
      </c>
      <c r="AC89" s="122">
        <f t="shared" ca="1" si="17"/>
        <v>31</v>
      </c>
      <c r="AD89" s="106" t="str">
        <f t="shared" si="25"/>
        <v>1508B</v>
      </c>
      <c r="AE89" s="119">
        <f t="shared" si="26"/>
        <v>0.49415222255202818</v>
      </c>
    </row>
    <row r="90" spans="2:31" ht="15.75" customHeight="1" x14ac:dyDescent="0.25">
      <c r="B90" s="118" t="s">
        <v>66</v>
      </c>
      <c r="C90" s="107">
        <f t="shared" si="23"/>
        <v>312842.40750000003</v>
      </c>
      <c r="D90" s="108">
        <f t="shared" si="23"/>
        <v>45959</v>
      </c>
      <c r="E90" s="107" t="str">
        <f t="shared" si="23"/>
        <v>NEXA012</v>
      </c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>
        <f>12876.17-ROUND(P35*10%,2)</f>
        <v>11036.71</v>
      </c>
      <c r="Q90" s="193">
        <f>12798.9-ROUND(Q35*10%,2)</f>
        <v>10970.48</v>
      </c>
      <c r="R90" s="193">
        <f>12180.56-ROUND(R35*10%,2)</f>
        <v>10440.469999999999</v>
      </c>
      <c r="S90" s="194">
        <f t="shared" si="21"/>
        <v>32447.659999999996</v>
      </c>
      <c r="T90" s="179">
        <f t="shared" si="20"/>
        <v>39858.379999999997</v>
      </c>
      <c r="U90" s="268">
        <v>7410.72</v>
      </c>
      <c r="V90" s="269">
        <v>7757.1500000000033</v>
      </c>
      <c r="W90" s="270">
        <v>160668.88</v>
      </c>
      <c r="X90" s="185"/>
      <c r="Y90" s="138"/>
      <c r="Z90" s="186">
        <f t="shared" si="22"/>
        <v>208284.41</v>
      </c>
      <c r="AA90" s="181">
        <f t="shared" si="15"/>
        <v>0.66578061351864515</v>
      </c>
      <c r="AB90" s="122">
        <f t="shared" ca="1" si="24"/>
        <v>4</v>
      </c>
      <c r="AC90" s="122">
        <f t="shared" ca="1" si="17"/>
        <v>32</v>
      </c>
      <c r="AD90" s="106" t="str">
        <f t="shared" si="25"/>
        <v>1509A</v>
      </c>
      <c r="AE90" s="119">
        <f t="shared" si="26"/>
        <v>0.66578061351864515</v>
      </c>
    </row>
    <row r="91" spans="2:31" ht="15.75" customHeight="1" x14ac:dyDescent="0.25">
      <c r="B91" s="118" t="s">
        <v>67</v>
      </c>
      <c r="C91" s="107">
        <f t="shared" si="23"/>
        <v>254298.22950000002</v>
      </c>
      <c r="D91" s="108">
        <f t="shared" si="23"/>
        <v>45959</v>
      </c>
      <c r="E91" s="107" t="str">
        <f t="shared" si="23"/>
        <v>NEXA013</v>
      </c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>
        <f>6355.4-ROUND(P36*10%,2)</f>
        <v>5447.49</v>
      </c>
      <c r="Q91" s="193">
        <f>8077.71-ROUND(Q36*10%,2)</f>
        <v>6923.75</v>
      </c>
      <c r="R91" s="193">
        <f>6647.84-ROUND(R36*10%,2)</f>
        <v>5698.15</v>
      </c>
      <c r="S91" s="194">
        <f t="shared" si="21"/>
        <v>18069.39</v>
      </c>
      <c r="T91" s="179">
        <f t="shared" si="20"/>
        <v>21823.360000000001</v>
      </c>
      <c r="U91" s="268">
        <v>3753.97</v>
      </c>
      <c r="V91" s="269">
        <v>4004.89</v>
      </c>
      <c r="W91" s="270">
        <v>68444.179999999978</v>
      </c>
      <c r="X91" s="185"/>
      <c r="Y91" s="138"/>
      <c r="Z91" s="186">
        <f t="shared" si="22"/>
        <v>94272.429999999978</v>
      </c>
      <c r="AA91" s="181">
        <f t="shared" si="15"/>
        <v>0.37071602970008083</v>
      </c>
      <c r="AB91" s="122">
        <f t="shared" ca="1" si="24"/>
        <v>4</v>
      </c>
      <c r="AC91" s="122">
        <f t="shared" ca="1" si="17"/>
        <v>32</v>
      </c>
      <c r="AD91" s="106" t="str">
        <f t="shared" si="25"/>
        <v>1509B</v>
      </c>
      <c r="AE91" s="119">
        <f t="shared" si="26"/>
        <v>0.37071602970008083</v>
      </c>
    </row>
    <row r="92" spans="2:31" ht="15.75" customHeight="1" x14ac:dyDescent="0.25">
      <c r="B92" s="149" t="s">
        <v>103</v>
      </c>
      <c r="C92" s="158">
        <f t="shared" si="23"/>
        <v>123039.82949999999</v>
      </c>
      <c r="D92" s="159">
        <f t="shared" si="23"/>
        <v>45986</v>
      </c>
      <c r="E92" s="158" t="str">
        <f t="shared" si="23"/>
        <v>OPEN</v>
      </c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>
        <f>4502.4-ROUND(Q37*10%,2)</f>
        <v>3859.2</v>
      </c>
      <c r="R92" s="195">
        <f>8274.29-ROUND(R37*10%,2)</f>
        <v>7092.2400000000007</v>
      </c>
      <c r="S92" s="196">
        <f t="shared" si="21"/>
        <v>10951.44</v>
      </c>
      <c r="T92" s="179">
        <f t="shared" si="20"/>
        <v>16151.060000000001</v>
      </c>
      <c r="U92" s="268">
        <v>5199.62</v>
      </c>
      <c r="V92" s="269">
        <v>4051.48</v>
      </c>
      <c r="W92" s="270">
        <v>34005.619999999995</v>
      </c>
      <c r="X92" s="185"/>
      <c r="Y92" s="138"/>
      <c r="Z92" s="186">
        <f t="shared" si="22"/>
        <v>54208.159999999996</v>
      </c>
      <c r="AA92" s="181">
        <f t="shared" si="15"/>
        <v>0.44057408255755098</v>
      </c>
      <c r="AB92" s="122">
        <v>1</v>
      </c>
      <c r="AC92" s="122">
        <f t="shared" si="17"/>
        <v>35</v>
      </c>
      <c r="AD92" s="106" t="str">
        <f t="shared" si="25"/>
        <v>1510A</v>
      </c>
      <c r="AE92" s="119">
        <f t="shared" si="26"/>
        <v>0.44057408255755098</v>
      </c>
    </row>
    <row r="93" spans="2:31" ht="15.75" customHeight="1" x14ac:dyDescent="0.25">
      <c r="B93" s="149" t="s">
        <v>104</v>
      </c>
      <c r="C93" s="158">
        <f t="shared" si="23"/>
        <v>123250.59600000001</v>
      </c>
      <c r="D93" s="159">
        <f t="shared" si="23"/>
        <v>45986</v>
      </c>
      <c r="E93" s="158" t="str">
        <f t="shared" si="23"/>
        <v>OPEN</v>
      </c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>
        <f>2607.29-ROUND(Q38*10%,2)</f>
        <v>2234.8199999999997</v>
      </c>
      <c r="R93" s="195">
        <f>2601.93-ROUND(R38*10%,2)</f>
        <v>2230.2199999999998</v>
      </c>
      <c r="S93" s="196">
        <f t="shared" si="21"/>
        <v>4465.0399999999991</v>
      </c>
      <c r="T93" s="179">
        <f>SUM(F93:R93)+U93</f>
        <v>5530.2599999999993</v>
      </c>
      <c r="U93" s="268">
        <v>1065.22</v>
      </c>
      <c r="V93" s="269">
        <v>2370.1000000000004</v>
      </c>
      <c r="W93" s="270">
        <v>37694.88999999997</v>
      </c>
      <c r="X93" s="185"/>
      <c r="Y93" s="138"/>
      <c r="Z93" s="186">
        <f t="shared" si="22"/>
        <v>45595.249999999971</v>
      </c>
      <c r="AA93" s="181">
        <f t="shared" si="15"/>
        <v>0.36993938755476663</v>
      </c>
      <c r="AB93" s="122">
        <v>1</v>
      </c>
      <c r="AC93" s="122">
        <f t="shared" si="17"/>
        <v>35</v>
      </c>
      <c r="AD93" s="106" t="str">
        <f t="shared" si="25"/>
        <v>1510B</v>
      </c>
      <c r="AE93" s="119">
        <f t="shared" si="26"/>
        <v>0.36993938755476663</v>
      </c>
    </row>
    <row r="94" spans="2:31" ht="15.75" customHeight="1" x14ac:dyDescent="0.25">
      <c r="B94" s="149" t="s">
        <v>119</v>
      </c>
      <c r="C94" s="158">
        <f>C39</f>
        <v>283168.935</v>
      </c>
      <c r="D94" s="159">
        <f>D39</f>
        <v>46022</v>
      </c>
      <c r="E94" s="158" t="s">
        <v>120</v>
      </c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8">
        <f t="shared" si="21"/>
        <v>0</v>
      </c>
      <c r="T94" s="179">
        <f t="shared" ref="T94:T96" si="27">SUM(F94:R94)+U94</f>
        <v>2176.44</v>
      </c>
      <c r="U94" s="268">
        <v>2176.44</v>
      </c>
      <c r="V94" s="269">
        <v>2368.84</v>
      </c>
      <c r="W94" s="270">
        <v>31060.029999999995</v>
      </c>
      <c r="X94" s="185"/>
      <c r="Y94" s="138"/>
      <c r="Z94" s="186">
        <f t="shared" si="22"/>
        <v>35605.31</v>
      </c>
      <c r="AA94" s="181">
        <f t="shared" ref="AA94:AA95" si="28">Z94/C94</f>
        <v>0.12573875732519882</v>
      </c>
      <c r="AB94" s="122">
        <v>1</v>
      </c>
      <c r="AC94" s="122">
        <f t="shared" ref="AC94:AC95" si="29">36-AB94</f>
        <v>35</v>
      </c>
      <c r="AD94" s="106" t="str">
        <f t="shared" si="25"/>
        <v>1511A</v>
      </c>
      <c r="AE94" s="119">
        <f t="shared" si="26"/>
        <v>0.12573875732519882</v>
      </c>
    </row>
    <row r="95" spans="2:31" ht="15.75" customHeight="1" x14ac:dyDescent="0.25">
      <c r="B95" s="149" t="s">
        <v>118</v>
      </c>
      <c r="C95" s="158">
        <f>C40</f>
        <v>363031.73550000001</v>
      </c>
      <c r="D95" s="159">
        <f>D40</f>
        <v>46022</v>
      </c>
      <c r="E95" s="158" t="s">
        <v>120</v>
      </c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>
        <f>71.75-ROUND(R40*10%,2)</f>
        <v>61.5</v>
      </c>
      <c r="S95" s="196">
        <f t="shared" si="21"/>
        <v>61.5</v>
      </c>
      <c r="T95" s="179">
        <f t="shared" si="27"/>
        <v>9485.44</v>
      </c>
      <c r="U95" s="268">
        <v>9423.94</v>
      </c>
      <c r="V95" s="269">
        <v>6882.3200000000024</v>
      </c>
      <c r="W95" s="270">
        <v>56997.540000000008</v>
      </c>
      <c r="X95" s="185"/>
      <c r="Y95" s="138"/>
      <c r="Z95" s="186">
        <f t="shared" si="22"/>
        <v>73365.300000000017</v>
      </c>
      <c r="AA95" s="181">
        <f t="shared" si="28"/>
        <v>0.20209059656714232</v>
      </c>
      <c r="AB95" s="122">
        <v>1</v>
      </c>
      <c r="AC95" s="122">
        <f t="shared" si="29"/>
        <v>35</v>
      </c>
      <c r="AD95" s="106" t="str">
        <f t="shared" si="25"/>
        <v>1511B</v>
      </c>
      <c r="AE95" s="119">
        <f t="shared" si="26"/>
        <v>0.20209059656714232</v>
      </c>
    </row>
    <row r="96" spans="2:31" ht="15.75" customHeight="1" x14ac:dyDescent="0.25">
      <c r="B96" s="149">
        <v>1512</v>
      </c>
      <c r="C96" s="158">
        <v>34630.629999999997</v>
      </c>
      <c r="D96" s="159">
        <v>46052</v>
      </c>
      <c r="E96" s="158" t="s">
        <v>120</v>
      </c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6">
        <f t="shared" si="21"/>
        <v>0</v>
      </c>
      <c r="T96" s="179">
        <f t="shared" si="27"/>
        <v>191.77</v>
      </c>
      <c r="U96" s="268">
        <v>191.77</v>
      </c>
      <c r="V96" s="269">
        <v>238.32</v>
      </c>
      <c r="W96" s="270">
        <v>884.45</v>
      </c>
      <c r="X96" s="185"/>
      <c r="Y96" s="138"/>
      <c r="Z96" s="186"/>
      <c r="AA96" s="181"/>
      <c r="AB96" s="122"/>
      <c r="AC96" s="122"/>
      <c r="AD96" s="106"/>
      <c r="AE96" s="119"/>
    </row>
    <row r="97" spans="2:31" ht="15.75" customHeight="1" x14ac:dyDescent="0.25">
      <c r="B97" s="149" t="s">
        <v>68</v>
      </c>
      <c r="C97" s="158">
        <f t="shared" ref="C97:E104" si="30">C42</f>
        <v>466467.84450000001</v>
      </c>
      <c r="D97" s="159">
        <f t="shared" si="30"/>
        <v>45930</v>
      </c>
      <c r="E97" s="158" t="str">
        <f t="shared" si="30"/>
        <v>OPEN</v>
      </c>
      <c r="F97" s="195"/>
      <c r="G97" s="195"/>
      <c r="H97" s="195"/>
      <c r="I97" s="195"/>
      <c r="J97" s="195"/>
      <c r="K97" s="195"/>
      <c r="L97" s="195"/>
      <c r="M97" s="195"/>
      <c r="N97" s="195"/>
      <c r="O97" s="195">
        <f>27912.45-ROUND(O42*10%,2)</f>
        <v>23924.95</v>
      </c>
      <c r="P97" s="195">
        <f>29609.2-ROUND(P42*10%,2)</f>
        <v>25379.300000000003</v>
      </c>
      <c r="Q97" s="195">
        <f>21610.9-ROUND(Q42*10%,2)</f>
        <v>18523.620000000003</v>
      </c>
      <c r="R97" s="195">
        <f>21521.73-ROUND(R42*10%,2)</f>
        <v>18447.189999999999</v>
      </c>
      <c r="S97" s="196">
        <f t="shared" si="21"/>
        <v>204936.16745499996</v>
      </c>
      <c r="T97" s="179">
        <f t="shared" si="20"/>
        <v>95975.43</v>
      </c>
      <c r="U97" s="268">
        <v>9700.3700000000008</v>
      </c>
      <c r="V97" s="269">
        <v>9940.1</v>
      </c>
      <c r="W97" s="270">
        <v>161937.06999999998</v>
      </c>
      <c r="X97" s="185"/>
      <c r="Y97" s="138">
        <v>118661.10745499996</v>
      </c>
      <c r="Z97" s="186">
        <f t="shared" si="22"/>
        <v>386513.70745499991</v>
      </c>
      <c r="AA97" s="181">
        <f t="shared" si="15"/>
        <v>0.82859668037632528</v>
      </c>
      <c r="AB97" s="122">
        <f t="shared" ref="AB97:AB102" ca="1" si="31">DATEDIF(DATE(YEAR(D97), MONTH(D97), 1), TODAY(), "m")</f>
        <v>5</v>
      </c>
      <c r="AC97" s="122">
        <f t="shared" ca="1" si="17"/>
        <v>31</v>
      </c>
      <c r="AD97" s="106" t="str">
        <f t="shared" ref="AD97:AD104" si="32">B97</f>
        <v>1601A</v>
      </c>
      <c r="AE97" s="119">
        <f t="shared" ref="AE97:AE104" si="33">Z97/C97</f>
        <v>0.82859668037632528</v>
      </c>
    </row>
    <row r="98" spans="2:31" ht="15.75" customHeight="1" x14ac:dyDescent="0.25">
      <c r="B98" s="149" t="s">
        <v>69</v>
      </c>
      <c r="C98" s="158">
        <f t="shared" si="30"/>
        <v>4005.0254999999997</v>
      </c>
      <c r="D98" s="159">
        <f t="shared" si="30"/>
        <v>45930</v>
      </c>
      <c r="E98" s="158" t="str">
        <f t="shared" si="30"/>
        <v>OPEN</v>
      </c>
      <c r="F98" s="195"/>
      <c r="G98" s="195"/>
      <c r="H98" s="195"/>
      <c r="I98" s="195"/>
      <c r="J98" s="195"/>
      <c r="K98" s="195"/>
      <c r="L98" s="195"/>
      <c r="M98" s="195"/>
      <c r="N98" s="195"/>
      <c r="O98" s="195">
        <f>2276.33-ROUND(O43*10%,2)</f>
        <v>1951.1399999999999</v>
      </c>
      <c r="P98" s="195">
        <f>455-ROUND(P43*10%,2)</f>
        <v>390</v>
      </c>
      <c r="Q98" s="195">
        <f>455-ROUND(Q43*10%,2)</f>
        <v>390</v>
      </c>
      <c r="R98" s="195">
        <f>682.5-ROUND(R43*10%,2)</f>
        <v>585</v>
      </c>
      <c r="S98" s="196">
        <f t="shared" si="21"/>
        <v>4340.79</v>
      </c>
      <c r="T98" s="179">
        <f t="shared" si="20"/>
        <v>3316.14</v>
      </c>
      <c r="U98" s="268">
        <v>0</v>
      </c>
      <c r="V98" s="269">
        <v>227.5</v>
      </c>
      <c r="W98" s="270">
        <v>450.1</v>
      </c>
      <c r="X98" s="185"/>
      <c r="Y98" s="138">
        <v>1024.6500000000001</v>
      </c>
      <c r="Z98" s="186">
        <f t="shared" si="22"/>
        <v>5018.3899999999994</v>
      </c>
      <c r="AA98" s="181">
        <f t="shared" si="15"/>
        <v>1.2530232329357203</v>
      </c>
      <c r="AB98" s="122">
        <f t="shared" ca="1" si="31"/>
        <v>5</v>
      </c>
      <c r="AC98" s="122">
        <f t="shared" ca="1" si="17"/>
        <v>31</v>
      </c>
      <c r="AD98" s="106" t="str">
        <f t="shared" si="32"/>
        <v>1601B</v>
      </c>
      <c r="AE98" s="119">
        <f t="shared" si="33"/>
        <v>1.2530232329357203</v>
      </c>
    </row>
    <row r="99" spans="2:31" ht="15.75" customHeight="1" x14ac:dyDescent="0.25">
      <c r="B99" s="118" t="s">
        <v>70</v>
      </c>
      <c r="C99" s="107">
        <f t="shared" si="30"/>
        <v>549457.04099999997</v>
      </c>
      <c r="D99" s="108">
        <f t="shared" si="30"/>
        <v>45930</v>
      </c>
      <c r="E99" s="107" t="str">
        <f t="shared" si="30"/>
        <v>NL001</v>
      </c>
      <c r="F99" s="193"/>
      <c r="G99" s="193"/>
      <c r="H99" s="193"/>
      <c r="I99" s="193"/>
      <c r="J99" s="193"/>
      <c r="K99" s="193"/>
      <c r="L99" s="193"/>
      <c r="M99" s="193"/>
      <c r="N99" s="193"/>
      <c r="O99" s="197">
        <f>32001.99-ROUND(O44*10%,2)-18</f>
        <v>27412.27</v>
      </c>
      <c r="P99" s="197">
        <f>30002.87-ROUND(P44*10%,2)-100</f>
        <v>25616.739999999998</v>
      </c>
      <c r="Q99" s="197">
        <f>25260.2-ROUND(Q44*10%,2)</f>
        <v>21651.600000000002</v>
      </c>
      <c r="R99" s="197">
        <f>30129.79-ROUND(R44*10%,2)</f>
        <v>25825.53</v>
      </c>
      <c r="S99" s="194">
        <f t="shared" si="21"/>
        <v>242907.40056499996</v>
      </c>
      <c r="T99" s="179">
        <f t="shared" si="20"/>
        <v>106753.44</v>
      </c>
      <c r="U99" s="268">
        <v>6247.3</v>
      </c>
      <c r="V99" s="269">
        <v>11330.020000000002</v>
      </c>
      <c r="W99" s="270">
        <v>168206.36000000004</v>
      </c>
      <c r="X99" s="185"/>
      <c r="Y99" s="138">
        <v>142401.26056499998</v>
      </c>
      <c r="Z99" s="186">
        <f t="shared" si="22"/>
        <v>428691.08056500007</v>
      </c>
      <c r="AA99" s="181">
        <f t="shared" si="15"/>
        <v>0.78020854876077583</v>
      </c>
      <c r="AB99" s="122">
        <f t="shared" ca="1" si="31"/>
        <v>5</v>
      </c>
      <c r="AC99" s="122">
        <f t="shared" ca="1" si="17"/>
        <v>31</v>
      </c>
      <c r="AD99" s="106" t="str">
        <f t="shared" si="32"/>
        <v>1602A</v>
      </c>
      <c r="AE99" s="119">
        <f t="shared" si="33"/>
        <v>0.78020854876077583</v>
      </c>
    </row>
    <row r="100" spans="2:31" ht="15.75" customHeight="1" x14ac:dyDescent="0.25">
      <c r="B100" s="118" t="s">
        <v>72</v>
      </c>
      <c r="C100" s="107">
        <f t="shared" si="30"/>
        <v>6991.0680000000002</v>
      </c>
      <c r="D100" s="108">
        <f t="shared" si="30"/>
        <v>45930</v>
      </c>
      <c r="E100" s="107" t="str">
        <f t="shared" si="30"/>
        <v>NL002</v>
      </c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>
        <f>925.82-ROUND(Q45*10%,2)</f>
        <v>793.56000000000006</v>
      </c>
      <c r="R100" s="193">
        <f>124.36-ROUND(R45*10%,2)</f>
        <v>106.59</v>
      </c>
      <c r="S100" s="194">
        <f t="shared" si="21"/>
        <v>4295.5627199999999</v>
      </c>
      <c r="T100" s="179">
        <f t="shared" si="20"/>
        <v>962.33</v>
      </c>
      <c r="U100" s="268">
        <v>62.18</v>
      </c>
      <c r="V100" s="269">
        <v>62.18</v>
      </c>
      <c r="W100" s="270">
        <v>1616.6799999999996</v>
      </c>
      <c r="X100" s="185"/>
      <c r="Y100" s="138">
        <v>3395.4127200000003</v>
      </c>
      <c r="Z100" s="186">
        <f t="shared" si="22"/>
        <v>6036.6027199999999</v>
      </c>
      <c r="AA100" s="181">
        <f t="shared" si="15"/>
        <v>0.86347360946853891</v>
      </c>
      <c r="AB100" s="122">
        <f t="shared" ca="1" si="31"/>
        <v>5</v>
      </c>
      <c r="AC100" s="122">
        <f t="shared" ca="1" si="17"/>
        <v>31</v>
      </c>
      <c r="AD100" s="106" t="str">
        <f t="shared" si="32"/>
        <v>1602B</v>
      </c>
      <c r="AE100" s="119">
        <f t="shared" si="33"/>
        <v>0.86347360946853891</v>
      </c>
    </row>
    <row r="101" spans="2:31" ht="15.75" customHeight="1" x14ac:dyDescent="0.25">
      <c r="B101" s="118" t="s">
        <v>74</v>
      </c>
      <c r="C101" s="107">
        <f t="shared" si="30"/>
        <v>236415.65849999999</v>
      </c>
      <c r="D101" s="108">
        <f t="shared" si="30"/>
        <v>45959</v>
      </c>
      <c r="E101" s="107" t="str">
        <f t="shared" si="30"/>
        <v>NEXA014</v>
      </c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>
        <f>14558.93-ROUND(P46*10%,2)</f>
        <v>12479.08</v>
      </c>
      <c r="Q101" s="193">
        <f>14096.47-ROUND(Q46*10%,2)</f>
        <v>12082.68</v>
      </c>
      <c r="R101" s="193">
        <f>20269.52-ROUND(R46*10%,2)</f>
        <v>17373.87</v>
      </c>
      <c r="S101" s="194">
        <f t="shared" si="21"/>
        <v>41935.630000000005</v>
      </c>
      <c r="T101" s="179">
        <f t="shared" si="20"/>
        <v>47446.86</v>
      </c>
      <c r="U101" s="268">
        <v>5511.23</v>
      </c>
      <c r="V101" s="269">
        <v>8642.1100000000042</v>
      </c>
      <c r="W101" s="270">
        <v>139338.12000000002</v>
      </c>
      <c r="X101" s="185"/>
      <c r="Y101" s="138"/>
      <c r="Z101" s="186">
        <f t="shared" si="22"/>
        <v>195427.09000000003</v>
      </c>
      <c r="AA101" s="181">
        <f t="shared" si="15"/>
        <v>0.82662498431761045</v>
      </c>
      <c r="AB101" s="122">
        <f t="shared" ca="1" si="31"/>
        <v>4</v>
      </c>
      <c r="AC101" s="122">
        <f t="shared" ca="1" si="17"/>
        <v>32</v>
      </c>
      <c r="AD101" s="106" t="str">
        <f t="shared" si="32"/>
        <v>1603A</v>
      </c>
      <c r="AE101" s="119">
        <f t="shared" si="33"/>
        <v>0.82662498431761045</v>
      </c>
    </row>
    <row r="102" spans="2:31" ht="15.75" customHeight="1" x14ac:dyDescent="0.25">
      <c r="B102" s="118" t="s">
        <v>75</v>
      </c>
      <c r="C102" s="107">
        <f t="shared" si="30"/>
        <v>2345.8469999999998</v>
      </c>
      <c r="D102" s="108">
        <f t="shared" si="30"/>
        <v>45959</v>
      </c>
      <c r="E102" s="107" t="str">
        <f t="shared" si="30"/>
        <v>NEXA015</v>
      </c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>
        <f>382.51-ROUND(P47*10%,2)</f>
        <v>327.86</v>
      </c>
      <c r="Q102" s="193">
        <f>382.51-ROUND(Q47*10%,2)</f>
        <v>327.86</v>
      </c>
      <c r="R102" s="193">
        <f>382.51-ROUND(R47*10%,2)</f>
        <v>327.86</v>
      </c>
      <c r="S102" s="194">
        <f t="shared" si="21"/>
        <v>983.58</v>
      </c>
      <c r="T102" s="179">
        <f t="shared" si="20"/>
        <v>983.58</v>
      </c>
      <c r="U102" s="268"/>
      <c r="V102" s="269">
        <v>382.51000000000005</v>
      </c>
      <c r="W102" s="270">
        <v>3059.8000000000006</v>
      </c>
      <c r="X102" s="185"/>
      <c r="Y102" s="138"/>
      <c r="Z102" s="186">
        <f t="shared" si="22"/>
        <v>4425.8900000000012</v>
      </c>
      <c r="AA102" s="181">
        <f t="shared" si="15"/>
        <v>1.8866916725600611</v>
      </c>
      <c r="AB102" s="122">
        <f t="shared" ca="1" si="31"/>
        <v>4</v>
      </c>
      <c r="AC102" s="122">
        <f t="shared" ca="1" si="17"/>
        <v>32</v>
      </c>
      <c r="AD102" s="106" t="str">
        <f t="shared" si="32"/>
        <v>1603B</v>
      </c>
      <c r="AE102" s="119">
        <f t="shared" si="33"/>
        <v>1.8866916725600611</v>
      </c>
    </row>
    <row r="103" spans="2:31" ht="15.75" customHeight="1" x14ac:dyDescent="0.25">
      <c r="B103" s="149" t="s">
        <v>105</v>
      </c>
      <c r="C103" s="158">
        <f t="shared" si="30"/>
        <v>238276.86749999999</v>
      </c>
      <c r="D103" s="159">
        <f t="shared" si="30"/>
        <v>45986</v>
      </c>
      <c r="E103" s="158" t="str">
        <f t="shared" si="30"/>
        <v>OPEN</v>
      </c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>
        <f>10281.64-ROUND(Q48*10%,2)</f>
        <v>8812.83</v>
      </c>
      <c r="R103" s="195">
        <f>19105.66-ROUND(R48*10%,2)</f>
        <v>16376.27</v>
      </c>
      <c r="S103" s="196">
        <f t="shared" si="21"/>
        <v>25189.1</v>
      </c>
      <c r="T103" s="179">
        <f t="shared" si="20"/>
        <v>33314.47</v>
      </c>
      <c r="U103" s="268">
        <v>8125.37</v>
      </c>
      <c r="V103" s="269">
        <v>8545.5300000000025</v>
      </c>
      <c r="W103" s="270">
        <v>144457.70000000001</v>
      </c>
      <c r="X103" s="185"/>
      <c r="Y103" s="138"/>
      <c r="Z103" s="186">
        <f t="shared" si="22"/>
        <v>186317.7</v>
      </c>
      <c r="AA103" s="181">
        <f t="shared" si="15"/>
        <v>0.78193784379845443</v>
      </c>
      <c r="AB103" s="122">
        <v>1</v>
      </c>
      <c r="AC103" s="122">
        <f t="shared" si="17"/>
        <v>35</v>
      </c>
      <c r="AD103" s="106" t="str">
        <f t="shared" si="32"/>
        <v>1604A</v>
      </c>
      <c r="AE103" s="119">
        <f t="shared" si="33"/>
        <v>0.78193784379845443</v>
      </c>
    </row>
    <row r="104" spans="2:31" ht="15.75" customHeight="1" x14ac:dyDescent="0.25">
      <c r="B104" s="172" t="s">
        <v>106</v>
      </c>
      <c r="C104" s="173">
        <f t="shared" si="30"/>
        <v>4765.4984999999997</v>
      </c>
      <c r="D104" s="174">
        <f t="shared" si="30"/>
        <v>45986</v>
      </c>
      <c r="E104" s="173" t="str">
        <f t="shared" si="30"/>
        <v>OPEN</v>
      </c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>
        <f>284.62-ROUND(R49*10%,2)</f>
        <v>243.96</v>
      </c>
      <c r="S104" s="200">
        <f t="shared" si="21"/>
        <v>243.96</v>
      </c>
      <c r="T104" s="179">
        <f t="shared" si="20"/>
        <v>581.08000000000004</v>
      </c>
      <c r="U104" s="271">
        <v>337.12</v>
      </c>
      <c r="V104" s="272">
        <v>337.12</v>
      </c>
      <c r="W104" s="273">
        <v>4287.07</v>
      </c>
      <c r="X104" s="187"/>
      <c r="Y104" s="177"/>
      <c r="Z104" s="188">
        <f t="shared" ref="Z104" si="34">SUM(T104+V104+W104)</f>
        <v>5205.2699999999995</v>
      </c>
      <c r="AA104" s="181">
        <f t="shared" si="15"/>
        <v>1.0922823708789331</v>
      </c>
      <c r="AB104" s="122">
        <v>1</v>
      </c>
      <c r="AC104" s="122">
        <f t="shared" si="17"/>
        <v>35</v>
      </c>
      <c r="AD104" s="106" t="str">
        <f t="shared" si="32"/>
        <v>1604B</v>
      </c>
      <c r="AE104" s="119">
        <f t="shared" si="33"/>
        <v>1.0922823708789331</v>
      </c>
    </row>
    <row r="105" spans="2:31" ht="15.75" customHeight="1" x14ac:dyDescent="0.25">
      <c r="B105" s="149" t="s">
        <v>123</v>
      </c>
      <c r="C105" s="158">
        <v>279545.07</v>
      </c>
      <c r="D105" s="159">
        <v>46020</v>
      </c>
      <c r="E105" s="158" t="s">
        <v>120</v>
      </c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200">
        <f t="shared" si="21"/>
        <v>0</v>
      </c>
      <c r="T105" s="179">
        <f t="shared" si="20"/>
        <v>14869.61</v>
      </c>
      <c r="U105" s="268">
        <v>14869.61</v>
      </c>
      <c r="V105" s="269">
        <v>8603.2100000000028</v>
      </c>
      <c r="W105" s="270">
        <v>44233.01999999999</v>
      </c>
      <c r="X105" s="185"/>
      <c r="Y105" s="109"/>
      <c r="Z105" s="186"/>
      <c r="AA105" s="181"/>
      <c r="AB105" s="122"/>
      <c r="AC105" s="122"/>
      <c r="AD105" s="106"/>
      <c r="AE105" s="119"/>
    </row>
    <row r="106" spans="2:31" ht="15.75" customHeight="1" x14ac:dyDescent="0.25">
      <c r="B106" s="149" t="s">
        <v>124</v>
      </c>
      <c r="C106" s="158">
        <v>1471.01</v>
      </c>
      <c r="D106" s="159">
        <v>46020</v>
      </c>
      <c r="E106" s="158" t="s">
        <v>120</v>
      </c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200">
        <f t="shared" si="21"/>
        <v>0</v>
      </c>
      <c r="T106" s="179">
        <f t="shared" si="20"/>
        <v>0</v>
      </c>
      <c r="U106" s="268">
        <v>0</v>
      </c>
      <c r="V106" s="269">
        <v>0</v>
      </c>
      <c r="W106" s="270">
        <v>0</v>
      </c>
      <c r="X106" s="185"/>
      <c r="Y106" s="109"/>
      <c r="Z106" s="186"/>
      <c r="AA106" s="181"/>
      <c r="AB106" s="122"/>
      <c r="AC106" s="122"/>
      <c r="AD106" s="106"/>
      <c r="AE106" s="119"/>
    </row>
    <row r="107" spans="2:31" ht="15.75" customHeight="1" x14ac:dyDescent="0.25">
      <c r="B107" s="149" t="s">
        <v>125</v>
      </c>
      <c r="C107" s="158">
        <v>313017.89</v>
      </c>
      <c r="D107" s="159">
        <v>46052</v>
      </c>
      <c r="E107" s="158" t="s">
        <v>120</v>
      </c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200">
        <f t="shared" si="21"/>
        <v>0</v>
      </c>
      <c r="T107" s="179">
        <f t="shared" si="20"/>
        <v>12523.64</v>
      </c>
      <c r="U107" s="268">
        <v>12523.64</v>
      </c>
      <c r="V107" s="269">
        <v>5493.2399999999989</v>
      </c>
      <c r="W107" s="270">
        <v>78946.110000000073</v>
      </c>
      <c r="X107" s="185"/>
      <c r="Y107" s="109"/>
      <c r="Z107" s="186"/>
      <c r="AA107" s="181"/>
      <c r="AB107" s="122"/>
      <c r="AC107" s="122"/>
      <c r="AD107" s="106"/>
      <c r="AE107" s="119"/>
    </row>
    <row r="108" spans="2:31" ht="15.75" customHeight="1" thickBot="1" x14ac:dyDescent="0.3">
      <c r="B108" s="150" t="s">
        <v>126</v>
      </c>
      <c r="C108" s="160">
        <v>3758.46</v>
      </c>
      <c r="D108" s="161">
        <v>46052</v>
      </c>
      <c r="E108" s="160" t="s">
        <v>120</v>
      </c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0">
        <f t="shared" si="21"/>
        <v>0</v>
      </c>
      <c r="T108" s="279">
        <f t="shared" si="20"/>
        <v>0</v>
      </c>
      <c r="U108" s="274">
        <v>0</v>
      </c>
      <c r="V108" s="275">
        <v>0</v>
      </c>
      <c r="W108" s="276">
        <v>0</v>
      </c>
      <c r="X108" s="189"/>
      <c r="Y108" s="120"/>
      <c r="Z108" s="190"/>
      <c r="AA108" s="182"/>
      <c r="AB108" s="125"/>
      <c r="AC108" s="125"/>
      <c r="AD108" s="126"/>
      <c r="AE108" s="121"/>
    </row>
    <row r="109" spans="2:31" ht="15.75" customHeight="1" thickBot="1" x14ac:dyDescent="0.3">
      <c r="B109" s="278" t="s">
        <v>94</v>
      </c>
      <c r="C109" s="277">
        <f>SUM(C60:C108)</f>
        <v>6970667.6584999999</v>
      </c>
      <c r="D109" s="277"/>
      <c r="E109" s="277"/>
      <c r="F109" s="277">
        <f t="shared" ref="F109:R109" si="35">SUM(F60:F108)</f>
        <v>12435.32</v>
      </c>
      <c r="G109" s="277">
        <f t="shared" si="35"/>
        <v>4588.76</v>
      </c>
      <c r="H109" s="277">
        <f t="shared" si="35"/>
        <v>25157.360000000001</v>
      </c>
      <c r="I109" s="277">
        <f t="shared" si="35"/>
        <v>50942.83</v>
      </c>
      <c r="J109" s="277">
        <f t="shared" si="35"/>
        <v>62652.869999999995</v>
      </c>
      <c r="K109" s="277">
        <f t="shared" si="35"/>
        <v>68928.31</v>
      </c>
      <c r="L109" s="277">
        <f t="shared" si="35"/>
        <v>81862.340000000011</v>
      </c>
      <c r="M109" s="277">
        <f t="shared" si="35"/>
        <v>92778.79</v>
      </c>
      <c r="N109" s="277">
        <f t="shared" si="35"/>
        <v>107850.46</v>
      </c>
      <c r="O109" s="277">
        <f t="shared" si="35"/>
        <v>197410.48</v>
      </c>
      <c r="P109" s="277">
        <f t="shared" si="35"/>
        <v>183123.74999999997</v>
      </c>
      <c r="Q109" s="277">
        <f t="shared" si="35"/>
        <v>201287.8</v>
      </c>
      <c r="R109" s="277">
        <f t="shared" si="35"/>
        <v>228454.61999999997</v>
      </c>
      <c r="S109" s="277">
        <f t="shared" ref="S109:Z109" si="36">SUM(S60:S108)</f>
        <v>2003149.0915687503</v>
      </c>
      <c r="T109" s="277">
        <f t="shared" si="36"/>
        <v>1447574.0300000005</v>
      </c>
      <c r="U109" s="277">
        <f t="shared" si="36"/>
        <v>130100.33999999998</v>
      </c>
      <c r="V109" s="277">
        <f t="shared" si="36"/>
        <v>138818.51999999999</v>
      </c>
      <c r="W109" s="277">
        <f t="shared" si="36"/>
        <v>2127571.6000000006</v>
      </c>
      <c r="X109" s="277">
        <f t="shared" si="36"/>
        <v>4673.38</v>
      </c>
      <c r="Y109" s="277">
        <f t="shared" si="36"/>
        <v>685675.40156875015</v>
      </c>
      <c r="Z109" s="277">
        <f t="shared" si="36"/>
        <v>4221091.8815687504</v>
      </c>
      <c r="AA109" s="64"/>
      <c r="AB109" s="51"/>
      <c r="AC109" s="51"/>
      <c r="AE109" s="70">
        <f>Z109/C109</f>
        <v>0.60555058544809126</v>
      </c>
    </row>
    <row r="110" spans="2:31" ht="15.75" customHeight="1" x14ac:dyDescent="0.25">
      <c r="B110" s="51"/>
      <c r="C110" s="51"/>
      <c r="D110" s="51"/>
      <c r="E110" s="51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2:31" ht="15.75" customHeight="1" x14ac:dyDescent="0.25">
      <c r="B111" s="51"/>
      <c r="C111" s="51"/>
      <c r="D111" s="51"/>
      <c r="E111" s="51"/>
      <c r="F111" s="63"/>
      <c r="G111" s="63"/>
      <c r="H111" s="63"/>
      <c r="I111" s="63"/>
      <c r="J111" s="63"/>
      <c r="K111" s="63"/>
      <c r="L111" s="63"/>
      <c r="M111" s="71"/>
      <c r="N111" s="63"/>
      <c r="O111" s="71"/>
      <c r="P111" s="71"/>
      <c r="Q111" s="71"/>
      <c r="R111" s="71"/>
      <c r="S111" s="71"/>
      <c r="T111" s="63"/>
      <c r="U111" s="63"/>
      <c r="V111" s="63"/>
      <c r="W111" s="63"/>
      <c r="X111" s="63"/>
      <c r="Y111" s="63"/>
      <c r="Z111" s="63"/>
    </row>
    <row r="112" spans="2:31" ht="15.75" customHeight="1" x14ac:dyDescent="0.25">
      <c r="B112" s="51"/>
      <c r="C112" s="51"/>
      <c r="D112" s="51"/>
      <c r="E112" s="51"/>
      <c r="F112" s="51"/>
      <c r="G112" s="51"/>
      <c r="H112" s="51"/>
    </row>
    <row r="113" spans="2:8" ht="15.75" customHeight="1" x14ac:dyDescent="0.25">
      <c r="B113" s="51"/>
      <c r="C113" s="51"/>
      <c r="D113" s="51"/>
      <c r="E113" s="51"/>
      <c r="F113" s="51"/>
      <c r="G113" s="51"/>
      <c r="H113" s="51"/>
    </row>
    <row r="114" spans="2:8" ht="15.75" customHeight="1" x14ac:dyDescent="0.25">
      <c r="B114" s="51"/>
      <c r="C114" s="51"/>
      <c r="D114" s="51"/>
      <c r="E114" s="51"/>
      <c r="F114" s="51"/>
      <c r="G114" s="51"/>
      <c r="H114" s="51"/>
    </row>
    <row r="115" spans="2:8" ht="15.75" customHeight="1" x14ac:dyDescent="0.25">
      <c r="B115" s="51"/>
      <c r="C115" s="51"/>
      <c r="D115" s="51"/>
      <c r="E115" s="51"/>
      <c r="F115" s="51"/>
      <c r="G115" s="51"/>
      <c r="H115" s="51"/>
    </row>
    <row r="116" spans="2:8" ht="15.75" customHeight="1" x14ac:dyDescent="0.25">
      <c r="B116" s="51"/>
      <c r="C116" s="51"/>
      <c r="D116" s="51"/>
      <c r="E116" s="51"/>
      <c r="F116" s="51"/>
      <c r="G116" s="51"/>
      <c r="H116" s="51"/>
    </row>
    <row r="117" spans="2:8" ht="15.75" customHeight="1" x14ac:dyDescent="0.25">
      <c r="B117" s="51"/>
      <c r="C117" s="51"/>
      <c r="D117" s="51"/>
      <c r="E117" s="51"/>
      <c r="F117" s="51"/>
      <c r="G117" s="51"/>
      <c r="H117" s="51"/>
    </row>
    <row r="118" spans="2:8" ht="15.75" customHeight="1" x14ac:dyDescent="0.25">
      <c r="B118" s="51"/>
      <c r="C118" s="51"/>
      <c r="D118" s="51"/>
      <c r="E118" s="51"/>
      <c r="F118" s="51"/>
      <c r="G118" s="51"/>
      <c r="H118" s="51"/>
    </row>
    <row r="119" spans="2:8" ht="15.75" customHeight="1" x14ac:dyDescent="0.25">
      <c r="B119" s="51"/>
      <c r="C119" s="51"/>
      <c r="D119" s="51"/>
      <c r="E119" s="51"/>
      <c r="F119" s="51"/>
      <c r="G119" s="51"/>
      <c r="H119" s="51"/>
    </row>
    <row r="120" spans="2:8" ht="15.75" customHeight="1" x14ac:dyDescent="0.25">
      <c r="B120" s="51"/>
      <c r="C120" s="51"/>
      <c r="D120" s="51"/>
      <c r="E120" s="51"/>
      <c r="F120" s="51"/>
      <c r="G120" s="51"/>
      <c r="H120" s="51"/>
    </row>
    <row r="121" spans="2:8" ht="15.75" customHeight="1" x14ac:dyDescent="0.25">
      <c r="B121" s="51"/>
      <c r="C121" s="51"/>
      <c r="D121" s="51"/>
      <c r="E121" s="51"/>
      <c r="F121" s="51"/>
      <c r="G121" s="51"/>
      <c r="H121" s="51"/>
    </row>
    <row r="122" spans="2:8" ht="15.75" customHeight="1" x14ac:dyDescent="0.25">
      <c r="B122" s="51"/>
      <c r="C122" s="51"/>
      <c r="D122" s="51"/>
      <c r="E122" s="51"/>
      <c r="F122" s="51"/>
      <c r="G122" s="51"/>
      <c r="H122" s="51"/>
    </row>
    <row r="123" spans="2:8" ht="15.75" customHeight="1" x14ac:dyDescent="0.25">
      <c r="B123" s="51"/>
      <c r="C123" s="51"/>
      <c r="D123" s="51"/>
      <c r="E123" s="51"/>
      <c r="F123" s="51"/>
      <c r="G123" s="51"/>
      <c r="H123" s="51"/>
    </row>
    <row r="124" spans="2:8" ht="15.75" customHeight="1" x14ac:dyDescent="0.25">
      <c r="B124" s="51"/>
      <c r="C124" s="51"/>
      <c r="D124" s="51"/>
      <c r="E124" s="51"/>
      <c r="F124" s="51"/>
      <c r="G124" s="51"/>
      <c r="H124" s="51"/>
    </row>
    <row r="125" spans="2:8" ht="15.75" customHeight="1" x14ac:dyDescent="0.25">
      <c r="B125" s="51"/>
      <c r="C125" s="51"/>
      <c r="D125" s="51"/>
      <c r="E125" s="51"/>
      <c r="F125" s="51"/>
      <c r="G125" s="51"/>
      <c r="H125" s="51"/>
    </row>
    <row r="126" spans="2:8" ht="15.75" customHeight="1" x14ac:dyDescent="0.25">
      <c r="B126" s="51"/>
      <c r="C126" s="51"/>
      <c r="D126" s="51"/>
      <c r="E126" s="51"/>
      <c r="F126" s="51"/>
      <c r="G126" s="51"/>
      <c r="H126" s="51"/>
    </row>
    <row r="127" spans="2:8" ht="15.75" customHeight="1" x14ac:dyDescent="0.25">
      <c r="B127" s="51"/>
      <c r="C127" s="51"/>
      <c r="D127" s="51"/>
      <c r="E127" s="51"/>
      <c r="F127" s="51"/>
      <c r="G127" s="51"/>
      <c r="H127" s="51"/>
    </row>
    <row r="128" spans="2:8" ht="15.75" customHeight="1" x14ac:dyDescent="0.25">
      <c r="B128" s="51"/>
      <c r="C128" s="51"/>
      <c r="D128" s="51"/>
      <c r="E128" s="51"/>
      <c r="F128" s="51"/>
      <c r="G128" s="51"/>
      <c r="H128" s="51"/>
    </row>
    <row r="129" spans="2:8" ht="15.75" customHeight="1" x14ac:dyDescent="0.25">
      <c r="B129" s="51"/>
      <c r="C129" s="51"/>
      <c r="D129" s="51"/>
      <c r="E129" s="51"/>
      <c r="F129" s="51"/>
      <c r="G129" s="51"/>
      <c r="H129" s="51"/>
    </row>
    <row r="130" spans="2:8" ht="15.75" customHeight="1" x14ac:dyDescent="0.25">
      <c r="B130" s="51"/>
      <c r="C130" s="51"/>
      <c r="D130" s="51"/>
      <c r="E130" s="51"/>
      <c r="F130" s="51"/>
      <c r="G130" s="51"/>
      <c r="H130" s="51"/>
    </row>
    <row r="131" spans="2:8" ht="15.75" customHeight="1" x14ac:dyDescent="0.25">
      <c r="B131" s="51"/>
      <c r="C131" s="51"/>
      <c r="D131" s="51"/>
      <c r="E131" s="51"/>
      <c r="F131" s="51"/>
      <c r="G131" s="51"/>
      <c r="H131" s="51"/>
    </row>
    <row r="132" spans="2:8" ht="15.75" customHeight="1" x14ac:dyDescent="0.25">
      <c r="B132" s="51"/>
      <c r="C132" s="51"/>
      <c r="D132" s="51"/>
      <c r="E132" s="51"/>
      <c r="F132" s="51"/>
      <c r="G132" s="51"/>
      <c r="H132" s="51"/>
    </row>
    <row r="133" spans="2:8" ht="15.75" customHeight="1" x14ac:dyDescent="0.25">
      <c r="B133" s="51"/>
      <c r="C133" s="51"/>
      <c r="D133" s="51"/>
      <c r="E133" s="51"/>
      <c r="F133" s="51"/>
      <c r="G133" s="51"/>
      <c r="H133" s="51"/>
    </row>
    <row r="134" spans="2:8" ht="15.75" customHeight="1" x14ac:dyDescent="0.25">
      <c r="B134" s="51"/>
      <c r="C134" s="51"/>
      <c r="D134" s="51"/>
      <c r="E134" s="51"/>
      <c r="F134" s="51"/>
      <c r="G134" s="51"/>
      <c r="H134" s="51"/>
    </row>
    <row r="135" spans="2:8" ht="15.75" customHeight="1" x14ac:dyDescent="0.25">
      <c r="B135" s="51"/>
      <c r="C135" s="51"/>
      <c r="D135" s="51"/>
      <c r="E135" s="51"/>
      <c r="F135" s="51"/>
      <c r="G135" s="51"/>
      <c r="H135" s="51"/>
    </row>
    <row r="136" spans="2:8" ht="15.75" customHeight="1" x14ac:dyDescent="0.25">
      <c r="B136" s="51"/>
      <c r="C136" s="51"/>
      <c r="D136" s="51"/>
      <c r="E136" s="51"/>
      <c r="F136" s="51"/>
      <c r="G136" s="51"/>
      <c r="H136" s="51"/>
    </row>
    <row r="137" spans="2:8" ht="15.75" customHeight="1" x14ac:dyDescent="0.25">
      <c r="B137" s="51"/>
      <c r="C137" s="51"/>
      <c r="D137" s="51"/>
      <c r="E137" s="51"/>
      <c r="F137" s="51"/>
      <c r="G137" s="51"/>
      <c r="H137" s="51"/>
    </row>
    <row r="138" spans="2:8" ht="15.75" customHeight="1" x14ac:dyDescent="0.25">
      <c r="B138" s="51"/>
      <c r="C138" s="51"/>
      <c r="D138" s="51"/>
      <c r="E138" s="51"/>
      <c r="F138" s="51"/>
      <c r="G138" s="51"/>
      <c r="H138" s="51"/>
    </row>
    <row r="139" spans="2:8" ht="15.75" customHeight="1" x14ac:dyDescent="0.25">
      <c r="B139" s="51"/>
      <c r="C139" s="51"/>
      <c r="D139" s="51"/>
      <c r="E139" s="51"/>
      <c r="F139" s="51"/>
      <c r="G139" s="51"/>
      <c r="H139" s="51"/>
    </row>
    <row r="140" spans="2:8" ht="15.75" customHeight="1" x14ac:dyDescent="0.25">
      <c r="B140" s="51"/>
      <c r="C140" s="51"/>
      <c r="D140" s="51"/>
      <c r="E140" s="51"/>
      <c r="F140" s="51"/>
      <c r="G140" s="51"/>
      <c r="H140" s="51"/>
    </row>
    <row r="141" spans="2:8" ht="15.75" customHeight="1" x14ac:dyDescent="0.25">
      <c r="B141" s="51"/>
      <c r="C141" s="51"/>
      <c r="D141" s="51"/>
      <c r="E141" s="51"/>
      <c r="F141" s="51"/>
      <c r="G141" s="51"/>
      <c r="H141" s="51"/>
    </row>
    <row r="142" spans="2:8" ht="15.75" customHeight="1" x14ac:dyDescent="0.25">
      <c r="B142" s="51"/>
      <c r="C142" s="51"/>
      <c r="D142" s="51"/>
      <c r="E142" s="51"/>
      <c r="F142" s="51"/>
      <c r="G142" s="51"/>
      <c r="H142" s="51"/>
    </row>
    <row r="143" spans="2:8" ht="15.75" customHeight="1" x14ac:dyDescent="0.25">
      <c r="B143" s="51"/>
      <c r="C143" s="51"/>
      <c r="D143" s="51"/>
      <c r="E143" s="51"/>
      <c r="F143" s="51"/>
      <c r="G143" s="51"/>
      <c r="H143" s="51"/>
    </row>
    <row r="144" spans="2:8" ht="15.75" customHeight="1" x14ac:dyDescent="0.25">
      <c r="B144" s="51"/>
      <c r="C144" s="51"/>
      <c r="D144" s="51"/>
      <c r="E144" s="51"/>
      <c r="F144" s="51"/>
      <c r="G144" s="51"/>
      <c r="H144" s="51"/>
    </row>
    <row r="145" spans="2:8" ht="15.75" customHeight="1" x14ac:dyDescent="0.25">
      <c r="B145" s="51"/>
      <c r="C145" s="51"/>
      <c r="D145" s="51"/>
      <c r="E145" s="51"/>
      <c r="F145" s="51"/>
      <c r="G145" s="51"/>
      <c r="H145" s="51"/>
    </row>
    <row r="146" spans="2:8" ht="15.75" customHeight="1" x14ac:dyDescent="0.25">
      <c r="B146" s="51"/>
      <c r="C146" s="51"/>
      <c r="D146" s="51"/>
      <c r="E146" s="51"/>
      <c r="F146" s="51"/>
      <c r="G146" s="51"/>
      <c r="H146" s="51"/>
    </row>
    <row r="147" spans="2:8" ht="15.75" customHeight="1" x14ac:dyDescent="0.25">
      <c r="B147" s="51"/>
      <c r="C147" s="51"/>
      <c r="D147" s="51"/>
      <c r="E147" s="51"/>
      <c r="F147" s="51"/>
      <c r="G147" s="51"/>
      <c r="H147" s="51"/>
    </row>
    <row r="148" spans="2:8" ht="15.75" customHeight="1" x14ac:dyDescent="0.25">
      <c r="B148" s="51"/>
      <c r="C148" s="51"/>
      <c r="D148" s="51"/>
      <c r="E148" s="51"/>
      <c r="F148" s="51"/>
      <c r="G148" s="51"/>
      <c r="H148" s="51"/>
    </row>
    <row r="149" spans="2:8" ht="15.75" customHeight="1" x14ac:dyDescent="0.25">
      <c r="B149" s="51"/>
      <c r="C149" s="51"/>
      <c r="D149" s="51"/>
      <c r="E149" s="51"/>
      <c r="F149" s="51"/>
      <c r="G149" s="51"/>
      <c r="H149" s="51"/>
    </row>
    <row r="150" spans="2:8" ht="15.75" customHeight="1" x14ac:dyDescent="0.25">
      <c r="B150" s="51"/>
      <c r="C150" s="51"/>
      <c r="D150" s="51"/>
      <c r="E150" s="51"/>
      <c r="F150" s="51"/>
      <c r="G150" s="51"/>
      <c r="H150" s="51"/>
    </row>
    <row r="151" spans="2:8" ht="15.75" customHeight="1" x14ac:dyDescent="0.25">
      <c r="B151" s="51"/>
      <c r="C151" s="51"/>
      <c r="D151" s="51"/>
      <c r="E151" s="51"/>
      <c r="F151" s="51"/>
      <c r="G151" s="51"/>
      <c r="H151" s="51"/>
    </row>
    <row r="152" spans="2:8" ht="15.75" customHeight="1" x14ac:dyDescent="0.25">
      <c r="B152" s="51"/>
      <c r="C152" s="51"/>
      <c r="D152" s="51"/>
      <c r="E152" s="51"/>
      <c r="F152" s="51"/>
      <c r="G152" s="51"/>
      <c r="H152" s="51"/>
    </row>
    <row r="153" spans="2:8" ht="15.75" customHeight="1" x14ac:dyDescent="0.25">
      <c r="B153" s="51"/>
      <c r="C153" s="51"/>
      <c r="D153" s="51"/>
      <c r="E153" s="51"/>
      <c r="F153" s="51"/>
      <c r="G153" s="51"/>
      <c r="H153" s="51"/>
    </row>
    <row r="154" spans="2:8" ht="15.75" customHeight="1" x14ac:dyDescent="0.25">
      <c r="B154" s="51"/>
      <c r="C154" s="51"/>
      <c r="D154" s="51"/>
      <c r="E154" s="51"/>
      <c r="F154" s="51"/>
      <c r="G154" s="51"/>
      <c r="H154" s="51"/>
    </row>
    <row r="155" spans="2:8" ht="15.75" customHeight="1" x14ac:dyDescent="0.25">
      <c r="B155" s="51"/>
      <c r="C155" s="51"/>
      <c r="D155" s="51"/>
      <c r="E155" s="51"/>
      <c r="F155" s="51"/>
      <c r="G155" s="51"/>
      <c r="H155" s="51"/>
    </row>
    <row r="156" spans="2:8" ht="15.75" customHeight="1" x14ac:dyDescent="0.25">
      <c r="B156" s="51"/>
      <c r="C156" s="51"/>
      <c r="D156" s="51"/>
      <c r="E156" s="51"/>
      <c r="F156" s="51"/>
      <c r="G156" s="51"/>
      <c r="H156" s="51"/>
    </row>
    <row r="157" spans="2:8" ht="15.75" customHeight="1" x14ac:dyDescent="0.25">
      <c r="B157" s="51"/>
      <c r="C157" s="51"/>
      <c r="D157" s="51"/>
      <c r="E157" s="51"/>
      <c r="F157" s="51"/>
      <c r="G157" s="51"/>
      <c r="H157" s="51"/>
    </row>
    <row r="158" spans="2:8" ht="15.75" customHeight="1" x14ac:dyDescent="0.25">
      <c r="B158" s="51"/>
      <c r="C158" s="51"/>
      <c r="D158" s="51"/>
      <c r="E158" s="51"/>
      <c r="F158" s="51"/>
      <c r="G158" s="51"/>
      <c r="H158" s="51"/>
    </row>
    <row r="159" spans="2:8" ht="15.75" customHeight="1" x14ac:dyDescent="0.25">
      <c r="B159" s="51"/>
      <c r="C159" s="51"/>
      <c r="D159" s="51"/>
      <c r="E159" s="51"/>
      <c r="F159" s="51"/>
      <c r="G159" s="51"/>
      <c r="H159" s="51"/>
    </row>
    <row r="160" spans="2:8" ht="15.75" customHeight="1" x14ac:dyDescent="0.25">
      <c r="B160" s="51"/>
      <c r="C160" s="51"/>
      <c r="D160" s="51"/>
      <c r="E160" s="51"/>
      <c r="F160" s="51"/>
      <c r="G160" s="51"/>
      <c r="H160" s="51"/>
    </row>
    <row r="161" spans="2:8" ht="15.75" customHeight="1" x14ac:dyDescent="0.25">
      <c r="B161" s="51"/>
      <c r="C161" s="51"/>
      <c r="D161" s="51"/>
      <c r="E161" s="51"/>
      <c r="F161" s="51"/>
      <c r="G161" s="51"/>
      <c r="H161" s="51"/>
    </row>
    <row r="162" spans="2:8" ht="15.75" customHeight="1" x14ac:dyDescent="0.25">
      <c r="B162" s="51"/>
      <c r="C162" s="51"/>
      <c r="D162" s="51"/>
      <c r="E162" s="51"/>
      <c r="F162" s="51"/>
      <c r="G162" s="51"/>
      <c r="H162" s="51"/>
    </row>
    <row r="163" spans="2:8" ht="15.75" customHeight="1" x14ac:dyDescent="0.25">
      <c r="B163" s="51"/>
      <c r="C163" s="51"/>
      <c r="D163" s="51"/>
      <c r="E163" s="51"/>
      <c r="F163" s="51"/>
      <c r="G163" s="51"/>
      <c r="H163" s="51"/>
    </row>
    <row r="164" spans="2:8" ht="15.75" customHeight="1" x14ac:dyDescent="0.25">
      <c r="B164" s="51"/>
      <c r="C164" s="51"/>
      <c r="D164" s="51"/>
      <c r="E164" s="51"/>
      <c r="F164" s="51"/>
      <c r="G164" s="51"/>
      <c r="H164" s="51"/>
    </row>
    <row r="165" spans="2:8" ht="15.75" customHeight="1" x14ac:dyDescent="0.25">
      <c r="B165" s="51"/>
      <c r="C165" s="51"/>
      <c r="D165" s="51"/>
      <c r="E165" s="51"/>
      <c r="F165" s="51"/>
      <c r="G165" s="51"/>
      <c r="H165" s="51"/>
    </row>
    <row r="166" spans="2:8" ht="15.75" customHeight="1" x14ac:dyDescent="0.25">
      <c r="B166" s="51"/>
      <c r="C166" s="51"/>
      <c r="D166" s="51"/>
      <c r="E166" s="51"/>
      <c r="F166" s="51"/>
      <c r="G166" s="51"/>
      <c r="H166" s="51"/>
    </row>
    <row r="167" spans="2:8" ht="15.75" customHeight="1" x14ac:dyDescent="0.25">
      <c r="B167" s="51"/>
      <c r="C167" s="51"/>
      <c r="D167" s="51"/>
      <c r="E167" s="51"/>
      <c r="F167" s="51"/>
      <c r="G167" s="51"/>
      <c r="H167" s="51"/>
    </row>
    <row r="168" spans="2:8" ht="15.75" customHeight="1" x14ac:dyDescent="0.25">
      <c r="B168" s="51"/>
      <c r="C168" s="51"/>
      <c r="D168" s="51"/>
      <c r="E168" s="51"/>
      <c r="F168" s="51"/>
      <c r="G168" s="51"/>
      <c r="H168" s="51"/>
    </row>
    <row r="169" spans="2:8" ht="15.75" customHeight="1" x14ac:dyDescent="0.25">
      <c r="B169" s="51"/>
      <c r="C169" s="51"/>
      <c r="D169" s="51"/>
      <c r="E169" s="51"/>
      <c r="F169" s="51"/>
      <c r="G169" s="51"/>
      <c r="H169" s="51"/>
    </row>
    <row r="170" spans="2:8" ht="15.75" customHeight="1" x14ac:dyDescent="0.25">
      <c r="B170" s="51"/>
      <c r="C170" s="51"/>
      <c r="D170" s="51"/>
      <c r="E170" s="51"/>
      <c r="F170" s="51"/>
      <c r="G170" s="51"/>
      <c r="H170" s="51"/>
    </row>
    <row r="171" spans="2:8" ht="15.75" customHeight="1" x14ac:dyDescent="0.25">
      <c r="B171" s="51"/>
      <c r="C171" s="51"/>
      <c r="D171" s="51"/>
      <c r="E171" s="51"/>
      <c r="F171" s="51"/>
      <c r="G171" s="51"/>
      <c r="H171" s="51"/>
    </row>
    <row r="172" spans="2:8" ht="15.75" customHeight="1" x14ac:dyDescent="0.25">
      <c r="B172" s="51"/>
      <c r="C172" s="51"/>
      <c r="D172" s="51"/>
      <c r="E172" s="51"/>
      <c r="F172" s="51"/>
      <c r="G172" s="51"/>
      <c r="H172" s="51"/>
    </row>
    <row r="173" spans="2:8" ht="15.75" customHeight="1" x14ac:dyDescent="0.25">
      <c r="B173" s="51"/>
      <c r="C173" s="51"/>
      <c r="D173" s="51"/>
      <c r="E173" s="51"/>
      <c r="F173" s="51"/>
      <c r="G173" s="51"/>
      <c r="H173" s="51"/>
    </row>
    <row r="174" spans="2:8" ht="15.75" customHeight="1" x14ac:dyDescent="0.25">
      <c r="B174" s="51"/>
      <c r="C174" s="51"/>
      <c r="D174" s="51"/>
      <c r="E174" s="51"/>
      <c r="F174" s="51"/>
      <c r="G174" s="51"/>
      <c r="H174" s="51"/>
    </row>
    <row r="175" spans="2:8" ht="15.75" customHeight="1" x14ac:dyDescent="0.25">
      <c r="B175" s="51"/>
      <c r="C175" s="51"/>
      <c r="D175" s="51"/>
      <c r="E175" s="51"/>
      <c r="F175" s="51"/>
      <c r="G175" s="51"/>
      <c r="H175" s="51"/>
    </row>
    <row r="176" spans="2:8" ht="15.75" customHeight="1" x14ac:dyDescent="0.25">
      <c r="B176" s="51"/>
      <c r="C176" s="51"/>
      <c r="D176" s="51"/>
      <c r="E176" s="51"/>
      <c r="F176" s="51"/>
      <c r="G176" s="51"/>
      <c r="H176" s="51"/>
    </row>
    <row r="177" spans="2:8" ht="15.75" customHeight="1" x14ac:dyDescent="0.25">
      <c r="B177" s="51"/>
      <c r="C177" s="51"/>
      <c r="D177" s="51"/>
      <c r="E177" s="51"/>
      <c r="F177" s="51"/>
      <c r="G177" s="51"/>
      <c r="H177" s="51"/>
    </row>
    <row r="178" spans="2:8" ht="15.75" customHeight="1" x14ac:dyDescent="0.25">
      <c r="B178" s="51"/>
      <c r="C178" s="51"/>
      <c r="D178" s="51"/>
      <c r="E178" s="51"/>
      <c r="F178" s="51"/>
      <c r="G178" s="51"/>
      <c r="H178" s="51"/>
    </row>
    <row r="179" spans="2:8" ht="15.75" customHeight="1" x14ac:dyDescent="0.25">
      <c r="B179" s="51"/>
      <c r="C179" s="51"/>
      <c r="D179" s="51"/>
      <c r="E179" s="51"/>
      <c r="F179" s="51"/>
      <c r="G179" s="51"/>
      <c r="H179" s="51"/>
    </row>
    <row r="180" spans="2:8" ht="15.75" customHeight="1" x14ac:dyDescent="0.25">
      <c r="B180" s="51"/>
      <c r="C180" s="51"/>
      <c r="D180" s="51"/>
      <c r="E180" s="51"/>
      <c r="F180" s="51"/>
      <c r="G180" s="51"/>
      <c r="H180" s="51"/>
    </row>
    <row r="181" spans="2:8" ht="15.75" customHeight="1" x14ac:dyDescent="0.25">
      <c r="B181" s="51"/>
      <c r="C181" s="51"/>
      <c r="D181" s="51"/>
      <c r="E181" s="51"/>
      <c r="F181" s="51"/>
      <c r="G181" s="51"/>
      <c r="H181" s="51"/>
    </row>
    <row r="182" spans="2:8" ht="15.75" customHeight="1" x14ac:dyDescent="0.25">
      <c r="B182" s="51"/>
      <c r="C182" s="51"/>
      <c r="D182" s="51"/>
      <c r="E182" s="51"/>
      <c r="F182" s="51"/>
      <c r="G182" s="51"/>
      <c r="H182" s="51"/>
    </row>
    <row r="183" spans="2:8" ht="15.75" customHeight="1" x14ac:dyDescent="0.25">
      <c r="B183" s="51"/>
      <c r="C183" s="51"/>
      <c r="D183" s="51"/>
      <c r="E183" s="51"/>
      <c r="F183" s="51"/>
      <c r="G183" s="51"/>
      <c r="H183" s="51"/>
    </row>
    <row r="184" spans="2:8" ht="15.75" customHeight="1" x14ac:dyDescent="0.25">
      <c r="B184" s="51"/>
      <c r="C184" s="51"/>
      <c r="D184" s="51"/>
      <c r="E184" s="51"/>
      <c r="F184" s="51"/>
      <c r="G184" s="51"/>
      <c r="H184" s="51"/>
    </row>
    <row r="185" spans="2:8" ht="15.75" customHeight="1" x14ac:dyDescent="0.25">
      <c r="B185" s="51"/>
      <c r="C185" s="51"/>
      <c r="D185" s="51"/>
      <c r="E185" s="51"/>
      <c r="F185" s="51"/>
      <c r="G185" s="51"/>
      <c r="H185" s="51"/>
    </row>
    <row r="186" spans="2:8" ht="15.75" customHeight="1" x14ac:dyDescent="0.25">
      <c r="B186" s="51"/>
      <c r="C186" s="51"/>
      <c r="D186" s="51"/>
      <c r="E186" s="51"/>
      <c r="F186" s="51"/>
      <c r="G186" s="51"/>
      <c r="H186" s="51"/>
    </row>
    <row r="187" spans="2:8" ht="15.75" customHeight="1" x14ac:dyDescent="0.25">
      <c r="B187" s="51"/>
      <c r="C187" s="51"/>
      <c r="D187" s="51"/>
      <c r="E187" s="51"/>
      <c r="F187" s="51"/>
      <c r="G187" s="51"/>
      <c r="H187" s="51"/>
    </row>
    <row r="188" spans="2:8" ht="15.75" customHeight="1" x14ac:dyDescent="0.25">
      <c r="B188" s="51"/>
      <c r="C188" s="51"/>
      <c r="D188" s="51"/>
      <c r="E188" s="51"/>
      <c r="F188" s="51"/>
      <c r="G188" s="51"/>
      <c r="H188" s="51"/>
    </row>
    <row r="189" spans="2:8" ht="15.75" customHeight="1" x14ac:dyDescent="0.25">
      <c r="B189" s="51"/>
      <c r="C189" s="51"/>
      <c r="D189" s="51"/>
      <c r="E189" s="51"/>
      <c r="F189" s="51"/>
      <c r="G189" s="51"/>
      <c r="H189" s="51"/>
    </row>
    <row r="190" spans="2:8" ht="15.75" customHeight="1" x14ac:dyDescent="0.25">
      <c r="B190" s="51"/>
      <c r="C190" s="51"/>
      <c r="D190" s="51"/>
      <c r="E190" s="51"/>
      <c r="F190" s="51"/>
      <c r="G190" s="51"/>
      <c r="H190" s="51"/>
    </row>
    <row r="191" spans="2:8" ht="15.75" customHeight="1" x14ac:dyDescent="0.25">
      <c r="B191" s="51"/>
      <c r="C191" s="51"/>
      <c r="D191" s="51"/>
      <c r="E191" s="51"/>
      <c r="F191" s="51"/>
      <c r="G191" s="51"/>
      <c r="H191" s="51"/>
    </row>
    <row r="192" spans="2:8" ht="15.75" customHeight="1" x14ac:dyDescent="0.25">
      <c r="B192" s="51"/>
      <c r="C192" s="51"/>
      <c r="D192" s="51"/>
      <c r="E192" s="51"/>
      <c r="F192" s="51"/>
      <c r="G192" s="51"/>
      <c r="H192" s="51"/>
    </row>
    <row r="193" spans="2:8" ht="15.75" customHeight="1" x14ac:dyDescent="0.25">
      <c r="B193" s="51"/>
      <c r="C193" s="51"/>
      <c r="D193" s="51"/>
      <c r="E193" s="51"/>
      <c r="F193" s="51"/>
      <c r="G193" s="51"/>
      <c r="H193" s="51"/>
    </row>
    <row r="194" spans="2:8" ht="15.75" customHeight="1" x14ac:dyDescent="0.25">
      <c r="B194" s="51"/>
      <c r="C194" s="51"/>
      <c r="D194" s="51"/>
      <c r="E194" s="51"/>
      <c r="F194" s="51"/>
      <c r="G194" s="51"/>
      <c r="H194" s="51"/>
    </row>
    <row r="195" spans="2:8" ht="15.75" customHeight="1" x14ac:dyDescent="0.25">
      <c r="B195" s="51"/>
      <c r="C195" s="51"/>
      <c r="D195" s="51"/>
      <c r="E195" s="51"/>
      <c r="F195" s="51"/>
      <c r="G195" s="51"/>
      <c r="H195" s="51"/>
    </row>
    <row r="196" spans="2:8" ht="15.75" customHeight="1" x14ac:dyDescent="0.25">
      <c r="B196" s="51"/>
      <c r="C196" s="51"/>
      <c r="D196" s="51"/>
      <c r="E196" s="51"/>
      <c r="F196" s="51"/>
      <c r="G196" s="51"/>
      <c r="H196" s="51"/>
    </row>
    <row r="197" spans="2:8" ht="15.75" customHeight="1" x14ac:dyDescent="0.25">
      <c r="B197" s="51"/>
      <c r="C197" s="51"/>
      <c r="D197" s="51"/>
      <c r="E197" s="51"/>
      <c r="F197" s="51"/>
      <c r="G197" s="51"/>
      <c r="H197" s="51"/>
    </row>
    <row r="198" spans="2:8" ht="15.75" customHeight="1" x14ac:dyDescent="0.25">
      <c r="B198" s="51"/>
      <c r="C198" s="51"/>
      <c r="D198" s="51"/>
      <c r="E198" s="51"/>
      <c r="F198" s="51"/>
      <c r="G198" s="51"/>
      <c r="H198" s="51"/>
    </row>
    <row r="199" spans="2:8" ht="15.75" customHeight="1" x14ac:dyDescent="0.25">
      <c r="B199" s="51"/>
      <c r="C199" s="51"/>
      <c r="D199" s="51"/>
      <c r="E199" s="51"/>
      <c r="F199" s="51"/>
      <c r="G199" s="51"/>
      <c r="H199" s="51"/>
    </row>
    <row r="200" spans="2:8" ht="15.75" customHeight="1" x14ac:dyDescent="0.25">
      <c r="B200" s="51"/>
      <c r="C200" s="51"/>
      <c r="D200" s="51"/>
      <c r="E200" s="51"/>
      <c r="F200" s="51"/>
      <c r="G200" s="51"/>
      <c r="H200" s="51"/>
    </row>
    <row r="201" spans="2:8" ht="15.75" customHeight="1" x14ac:dyDescent="0.25">
      <c r="B201" s="51"/>
      <c r="C201" s="51"/>
      <c r="D201" s="51"/>
      <c r="E201" s="51"/>
      <c r="F201" s="51"/>
      <c r="G201" s="51"/>
      <c r="H201" s="51"/>
    </row>
    <row r="202" spans="2:8" ht="15.75" customHeight="1" x14ac:dyDescent="0.25">
      <c r="B202" s="51"/>
      <c r="C202" s="51"/>
      <c r="D202" s="51"/>
      <c r="E202" s="51"/>
      <c r="F202" s="51"/>
      <c r="G202" s="51"/>
      <c r="H202" s="51"/>
    </row>
    <row r="203" spans="2:8" ht="15.75" customHeight="1" x14ac:dyDescent="0.25">
      <c r="B203" s="51"/>
      <c r="C203" s="51"/>
      <c r="D203" s="51"/>
      <c r="E203" s="51"/>
      <c r="F203" s="51"/>
      <c r="G203" s="51"/>
      <c r="H203" s="51"/>
    </row>
    <row r="204" spans="2:8" ht="15.75" customHeight="1" x14ac:dyDescent="0.25">
      <c r="B204" s="51"/>
      <c r="C204" s="51"/>
      <c r="D204" s="51"/>
      <c r="E204" s="51"/>
      <c r="F204" s="51"/>
      <c r="G204" s="51"/>
      <c r="H204" s="51"/>
    </row>
    <row r="205" spans="2:8" ht="15.75" customHeight="1" x14ac:dyDescent="0.25">
      <c r="B205" s="51"/>
      <c r="C205" s="51"/>
      <c r="D205" s="51"/>
      <c r="E205" s="51"/>
      <c r="F205" s="51"/>
      <c r="G205" s="51"/>
      <c r="H205" s="51"/>
    </row>
    <row r="206" spans="2:8" ht="15.75" customHeight="1" x14ac:dyDescent="0.25">
      <c r="B206" s="51"/>
      <c r="C206" s="51"/>
      <c r="D206" s="51"/>
      <c r="E206" s="51"/>
      <c r="F206" s="51"/>
      <c r="G206" s="51"/>
      <c r="H206" s="51"/>
    </row>
    <row r="207" spans="2:8" ht="15.75" customHeight="1" x14ac:dyDescent="0.25">
      <c r="B207" s="51"/>
      <c r="C207" s="51"/>
      <c r="D207" s="51"/>
      <c r="E207" s="51"/>
      <c r="F207" s="51"/>
      <c r="G207" s="51"/>
      <c r="H207" s="51"/>
    </row>
    <row r="208" spans="2:8" ht="15.75" customHeight="1" x14ac:dyDescent="0.25">
      <c r="B208" s="51"/>
      <c r="C208" s="51"/>
      <c r="D208" s="51"/>
      <c r="E208" s="51"/>
      <c r="F208" s="51"/>
      <c r="G208" s="51"/>
      <c r="H208" s="51"/>
    </row>
    <row r="209" spans="2:8" ht="15.75" customHeight="1" x14ac:dyDescent="0.25">
      <c r="B209" s="51"/>
      <c r="C209" s="51"/>
      <c r="D209" s="51"/>
      <c r="E209" s="51"/>
      <c r="F209" s="51"/>
      <c r="G209" s="51"/>
      <c r="H209" s="51"/>
    </row>
    <row r="210" spans="2:8" ht="15.75" customHeight="1" x14ac:dyDescent="0.25">
      <c r="B210" s="51"/>
      <c r="C210" s="51"/>
      <c r="D210" s="51"/>
      <c r="E210" s="51"/>
      <c r="F210" s="51"/>
      <c r="G210" s="51"/>
      <c r="H210" s="51"/>
    </row>
    <row r="211" spans="2:8" ht="15.75" customHeight="1" x14ac:dyDescent="0.25">
      <c r="B211" s="51"/>
      <c r="C211" s="51"/>
      <c r="D211" s="51"/>
      <c r="E211" s="51"/>
      <c r="F211" s="51"/>
      <c r="G211" s="51"/>
      <c r="H211" s="51"/>
    </row>
    <row r="212" spans="2:8" ht="15.75" customHeight="1" x14ac:dyDescent="0.25">
      <c r="B212" s="51"/>
      <c r="C212" s="51"/>
      <c r="D212" s="51"/>
      <c r="E212" s="51"/>
      <c r="F212" s="51"/>
      <c r="G212" s="51"/>
      <c r="H212" s="51"/>
    </row>
    <row r="213" spans="2:8" ht="15.75" customHeight="1" x14ac:dyDescent="0.25">
      <c r="B213" s="51"/>
      <c r="C213" s="51"/>
      <c r="D213" s="51"/>
      <c r="E213" s="51"/>
      <c r="F213" s="51"/>
      <c r="G213" s="51"/>
      <c r="H213" s="51"/>
    </row>
    <row r="214" spans="2:8" ht="15.75" customHeight="1" x14ac:dyDescent="0.25">
      <c r="B214" s="51"/>
      <c r="C214" s="51"/>
      <c r="D214" s="51"/>
      <c r="E214" s="51"/>
      <c r="F214" s="51"/>
      <c r="G214" s="51"/>
      <c r="H214" s="51"/>
    </row>
    <row r="215" spans="2:8" ht="15.75" customHeight="1" x14ac:dyDescent="0.25">
      <c r="B215" s="51"/>
      <c r="C215" s="51"/>
      <c r="D215" s="51"/>
      <c r="E215" s="51"/>
      <c r="F215" s="51"/>
      <c r="G215" s="51"/>
      <c r="H215" s="51"/>
    </row>
    <row r="216" spans="2:8" ht="15.75" customHeight="1" x14ac:dyDescent="0.25">
      <c r="B216" s="51"/>
      <c r="C216" s="51"/>
      <c r="D216" s="51"/>
      <c r="E216" s="51"/>
      <c r="F216" s="51"/>
      <c r="G216" s="51"/>
      <c r="H216" s="51"/>
    </row>
    <row r="217" spans="2:8" ht="15.75" customHeight="1" x14ac:dyDescent="0.25">
      <c r="B217" s="51"/>
      <c r="C217" s="51"/>
      <c r="D217" s="51"/>
      <c r="E217" s="51"/>
      <c r="F217" s="51"/>
      <c r="G217" s="51"/>
      <c r="H217" s="51"/>
    </row>
    <row r="218" spans="2:8" ht="15.75" customHeight="1" x14ac:dyDescent="0.25">
      <c r="B218" s="51"/>
      <c r="C218" s="51"/>
      <c r="D218" s="51"/>
      <c r="E218" s="51"/>
      <c r="F218" s="51"/>
      <c r="G218" s="51"/>
      <c r="H218" s="51"/>
    </row>
    <row r="219" spans="2:8" ht="15.75" customHeight="1" x14ac:dyDescent="0.25">
      <c r="B219" s="51"/>
      <c r="C219" s="51"/>
      <c r="D219" s="51"/>
      <c r="E219" s="51"/>
      <c r="F219" s="51"/>
      <c r="G219" s="51"/>
      <c r="H219" s="51"/>
    </row>
    <row r="220" spans="2:8" ht="15.75" customHeight="1" x14ac:dyDescent="0.25">
      <c r="B220" s="51"/>
      <c r="C220" s="51"/>
      <c r="D220" s="51"/>
      <c r="E220" s="51"/>
      <c r="F220" s="51"/>
      <c r="G220" s="51"/>
      <c r="H220" s="51"/>
    </row>
    <row r="221" spans="2:8" ht="15.75" customHeight="1" x14ac:dyDescent="0.25">
      <c r="B221" s="51"/>
      <c r="C221" s="51"/>
      <c r="D221" s="51"/>
      <c r="E221" s="51"/>
      <c r="F221" s="51"/>
      <c r="G221" s="51"/>
      <c r="H221" s="51"/>
    </row>
    <row r="222" spans="2:8" ht="15.75" customHeight="1" x14ac:dyDescent="0.25">
      <c r="B222" s="51"/>
      <c r="C222" s="51"/>
      <c r="D222" s="51"/>
      <c r="E222" s="51"/>
      <c r="F222" s="51"/>
      <c r="G222" s="51"/>
      <c r="H222" s="51"/>
    </row>
    <row r="223" spans="2:8" ht="15.75" customHeight="1" x14ac:dyDescent="0.25">
      <c r="B223" s="51"/>
      <c r="C223" s="51"/>
      <c r="D223" s="51"/>
      <c r="E223" s="51"/>
      <c r="F223" s="51"/>
      <c r="G223" s="51"/>
      <c r="H223" s="51"/>
    </row>
    <row r="224" spans="2:8" ht="15.75" customHeight="1" x14ac:dyDescent="0.25">
      <c r="B224" s="51"/>
      <c r="C224" s="51"/>
      <c r="D224" s="51"/>
      <c r="E224" s="51"/>
      <c r="F224" s="51"/>
      <c r="G224" s="51"/>
      <c r="H224" s="51"/>
    </row>
    <row r="225" spans="2:8" ht="15.75" customHeight="1" x14ac:dyDescent="0.25">
      <c r="B225" s="51"/>
      <c r="C225" s="51"/>
      <c r="D225" s="51"/>
      <c r="E225" s="51"/>
      <c r="F225" s="51"/>
      <c r="G225" s="51"/>
      <c r="H225" s="51"/>
    </row>
    <row r="226" spans="2:8" ht="15.75" customHeight="1" x14ac:dyDescent="0.25">
      <c r="B226" s="51"/>
      <c r="C226" s="51"/>
      <c r="D226" s="51"/>
      <c r="E226" s="51"/>
      <c r="F226" s="51"/>
      <c r="G226" s="51"/>
      <c r="H226" s="51"/>
    </row>
    <row r="227" spans="2:8" ht="15.75" customHeight="1" x14ac:dyDescent="0.25">
      <c r="B227" s="51"/>
      <c r="C227" s="51"/>
      <c r="D227" s="51"/>
      <c r="E227" s="51"/>
      <c r="F227" s="51"/>
      <c r="G227" s="51"/>
      <c r="H227" s="51"/>
    </row>
    <row r="228" spans="2:8" ht="15.75" customHeight="1" x14ac:dyDescent="0.25">
      <c r="B228" s="51"/>
      <c r="C228" s="51"/>
      <c r="D228" s="51"/>
      <c r="E228" s="51"/>
      <c r="F228" s="51"/>
      <c r="G228" s="51"/>
      <c r="H228" s="51"/>
    </row>
    <row r="229" spans="2:8" ht="15.75" customHeight="1" x14ac:dyDescent="0.25">
      <c r="B229" s="51"/>
      <c r="C229" s="51"/>
      <c r="D229" s="51"/>
      <c r="E229" s="51"/>
      <c r="F229" s="51"/>
      <c r="G229" s="51"/>
      <c r="H229" s="51"/>
    </row>
    <row r="230" spans="2:8" ht="15.75" customHeight="1" x14ac:dyDescent="0.25">
      <c r="B230" s="51"/>
      <c r="C230" s="51"/>
      <c r="D230" s="51"/>
      <c r="E230" s="51"/>
      <c r="F230" s="51"/>
      <c r="G230" s="51"/>
      <c r="H230" s="51"/>
    </row>
    <row r="231" spans="2:8" ht="15.75" customHeight="1" x14ac:dyDescent="0.25">
      <c r="B231" s="51"/>
      <c r="C231" s="51"/>
      <c r="D231" s="51"/>
      <c r="E231" s="51"/>
      <c r="F231" s="51"/>
      <c r="G231" s="51"/>
      <c r="H231" s="51"/>
    </row>
    <row r="232" spans="2:8" ht="15.75" customHeight="1" x14ac:dyDescent="0.25">
      <c r="B232" s="51"/>
      <c r="C232" s="51"/>
      <c r="D232" s="51"/>
      <c r="E232" s="51"/>
      <c r="F232" s="51"/>
      <c r="G232" s="51"/>
      <c r="H232" s="51"/>
    </row>
    <row r="233" spans="2:8" ht="15.75" customHeight="1" x14ac:dyDescent="0.25">
      <c r="B233" s="51"/>
      <c r="C233" s="51"/>
      <c r="D233" s="51"/>
      <c r="E233" s="51"/>
      <c r="F233" s="51"/>
      <c r="G233" s="51"/>
      <c r="H233" s="51"/>
    </row>
    <row r="234" spans="2:8" ht="15.75" customHeight="1" x14ac:dyDescent="0.25">
      <c r="B234" s="51"/>
      <c r="C234" s="51"/>
      <c r="D234" s="51"/>
      <c r="E234" s="51"/>
      <c r="F234" s="51"/>
      <c r="G234" s="51"/>
      <c r="H234" s="51"/>
    </row>
    <row r="235" spans="2:8" ht="15.75" customHeight="1" x14ac:dyDescent="0.25">
      <c r="B235" s="51"/>
      <c r="C235" s="51"/>
      <c r="D235" s="51"/>
      <c r="E235" s="51"/>
      <c r="F235" s="51"/>
      <c r="G235" s="51"/>
      <c r="H235" s="51"/>
    </row>
    <row r="236" spans="2:8" ht="15.75" customHeight="1" x14ac:dyDescent="0.25">
      <c r="B236" s="51"/>
      <c r="C236" s="51"/>
      <c r="D236" s="51"/>
      <c r="E236" s="51"/>
      <c r="F236" s="51"/>
      <c r="G236" s="51"/>
      <c r="H236" s="51"/>
    </row>
    <row r="237" spans="2:8" ht="15.75" customHeight="1" x14ac:dyDescent="0.25">
      <c r="B237" s="51"/>
      <c r="C237" s="51"/>
      <c r="D237" s="51"/>
      <c r="E237" s="51"/>
      <c r="F237" s="51"/>
      <c r="G237" s="51"/>
      <c r="H237" s="51"/>
    </row>
    <row r="238" spans="2:8" ht="15.75" customHeight="1" x14ac:dyDescent="0.25">
      <c r="B238" s="51"/>
      <c r="C238" s="51"/>
      <c r="D238" s="51"/>
      <c r="E238" s="51"/>
      <c r="F238" s="51"/>
      <c r="G238" s="51"/>
      <c r="H238" s="51"/>
    </row>
    <row r="239" spans="2:8" ht="15.75" customHeight="1" x14ac:dyDescent="0.25">
      <c r="B239" s="51"/>
      <c r="C239" s="51"/>
      <c r="D239" s="51"/>
      <c r="E239" s="51"/>
      <c r="F239" s="51"/>
      <c r="G239" s="51"/>
      <c r="H239" s="51"/>
    </row>
    <row r="240" spans="2:8" ht="15.75" customHeight="1" x14ac:dyDescent="0.25">
      <c r="B240" s="51"/>
      <c r="C240" s="51"/>
      <c r="D240" s="51"/>
      <c r="E240" s="51"/>
      <c r="F240" s="51"/>
      <c r="G240" s="51"/>
      <c r="H240" s="51"/>
    </row>
    <row r="241" spans="2:8" ht="15.75" customHeight="1" x14ac:dyDescent="0.25">
      <c r="B241" s="51"/>
      <c r="C241" s="51"/>
      <c r="D241" s="51"/>
      <c r="E241" s="51"/>
      <c r="F241" s="51"/>
      <c r="G241" s="51"/>
      <c r="H241" s="51"/>
    </row>
    <row r="242" spans="2:8" ht="15.75" customHeight="1" x14ac:dyDescent="0.25">
      <c r="B242" s="51"/>
      <c r="C242" s="51"/>
      <c r="D242" s="51"/>
      <c r="E242" s="51"/>
      <c r="F242" s="51"/>
      <c r="G242" s="51"/>
      <c r="H242" s="51"/>
    </row>
    <row r="243" spans="2:8" ht="15.75" customHeight="1" x14ac:dyDescent="0.25">
      <c r="B243" s="51"/>
      <c r="C243" s="51"/>
      <c r="D243" s="51"/>
      <c r="E243" s="51"/>
      <c r="F243" s="51"/>
      <c r="G243" s="51"/>
      <c r="H243" s="51"/>
    </row>
    <row r="244" spans="2:8" ht="15.75" customHeight="1" x14ac:dyDescent="0.25">
      <c r="B244" s="51"/>
      <c r="C244" s="51"/>
      <c r="D244" s="51"/>
      <c r="E244" s="51"/>
      <c r="F244" s="51"/>
      <c r="G244" s="51"/>
      <c r="H244" s="51"/>
    </row>
    <row r="245" spans="2:8" ht="15.75" customHeight="1" x14ac:dyDescent="0.25">
      <c r="B245" s="51"/>
      <c r="C245" s="51"/>
      <c r="D245" s="51"/>
      <c r="E245" s="51"/>
      <c r="F245" s="51"/>
      <c r="G245" s="51"/>
      <c r="H245" s="51"/>
    </row>
    <row r="246" spans="2:8" ht="15.75" customHeight="1" x14ac:dyDescent="0.25">
      <c r="B246" s="51"/>
      <c r="C246" s="51"/>
      <c r="D246" s="51"/>
      <c r="E246" s="51"/>
      <c r="F246" s="51"/>
      <c r="G246" s="51"/>
      <c r="H246" s="51"/>
    </row>
    <row r="247" spans="2:8" ht="15.75" customHeight="1" x14ac:dyDescent="0.25">
      <c r="B247" s="51"/>
      <c r="C247" s="51"/>
      <c r="D247" s="51"/>
      <c r="E247" s="51"/>
      <c r="F247" s="51"/>
      <c r="G247" s="51"/>
      <c r="H247" s="51"/>
    </row>
    <row r="248" spans="2:8" ht="15.75" customHeight="1" x14ac:dyDescent="0.25">
      <c r="B248" s="51"/>
      <c r="C248" s="51"/>
      <c r="D248" s="51"/>
      <c r="E248" s="51"/>
      <c r="F248" s="51"/>
      <c r="G248" s="51"/>
      <c r="H248" s="51"/>
    </row>
    <row r="249" spans="2:8" ht="15.75" customHeight="1" x14ac:dyDescent="0.25">
      <c r="B249" s="51"/>
      <c r="C249" s="51"/>
      <c r="D249" s="51"/>
      <c r="E249" s="51"/>
      <c r="F249" s="51"/>
      <c r="G249" s="51"/>
      <c r="H249" s="51"/>
    </row>
    <row r="250" spans="2:8" ht="15.75" customHeight="1" x14ac:dyDescent="0.25">
      <c r="B250" s="51"/>
      <c r="C250" s="51"/>
      <c r="D250" s="51"/>
      <c r="E250" s="51"/>
      <c r="F250" s="51"/>
      <c r="G250" s="51"/>
      <c r="H250" s="51"/>
    </row>
    <row r="251" spans="2:8" ht="15.75" customHeight="1" x14ac:dyDescent="0.25">
      <c r="B251" s="51"/>
      <c r="C251" s="51"/>
      <c r="D251" s="51"/>
      <c r="E251" s="51"/>
      <c r="F251" s="51"/>
      <c r="G251" s="51"/>
      <c r="H251" s="51"/>
    </row>
    <row r="252" spans="2:8" ht="15.75" customHeight="1" x14ac:dyDescent="0.25">
      <c r="B252" s="51"/>
      <c r="C252" s="51"/>
      <c r="D252" s="51"/>
      <c r="E252" s="51"/>
      <c r="F252" s="51"/>
      <c r="G252" s="51"/>
      <c r="H252" s="51"/>
    </row>
    <row r="253" spans="2:8" ht="15.75" customHeight="1" x14ac:dyDescent="0.25">
      <c r="B253" s="51"/>
      <c r="C253" s="51"/>
      <c r="D253" s="51"/>
      <c r="E253" s="51"/>
      <c r="F253" s="51"/>
      <c r="G253" s="51"/>
      <c r="H253" s="51"/>
    </row>
    <row r="254" spans="2:8" ht="15.75" customHeight="1" x14ac:dyDescent="0.25">
      <c r="B254" s="51"/>
      <c r="C254" s="51"/>
      <c r="D254" s="51"/>
      <c r="E254" s="51"/>
      <c r="F254" s="51"/>
      <c r="G254" s="51"/>
      <c r="H254" s="51"/>
    </row>
    <row r="255" spans="2:8" ht="15.75" customHeight="1" x14ac:dyDescent="0.25">
      <c r="B255" s="51"/>
      <c r="C255" s="51"/>
      <c r="D255" s="51"/>
      <c r="E255" s="51"/>
      <c r="F255" s="51"/>
      <c r="G255" s="51"/>
      <c r="H255" s="51"/>
    </row>
    <row r="256" spans="2:8" ht="15.75" customHeight="1" x14ac:dyDescent="0.25">
      <c r="B256" s="51"/>
      <c r="C256" s="51"/>
      <c r="D256" s="51"/>
      <c r="E256" s="51"/>
      <c r="F256" s="51"/>
      <c r="G256" s="51"/>
      <c r="H256" s="51"/>
    </row>
    <row r="257" spans="2:8" ht="15.75" customHeight="1" x14ac:dyDescent="0.25">
      <c r="B257" s="51"/>
      <c r="C257" s="51"/>
      <c r="D257" s="51"/>
      <c r="E257" s="51"/>
      <c r="F257" s="51"/>
      <c r="G257" s="51"/>
      <c r="H257" s="51"/>
    </row>
    <row r="258" spans="2:8" ht="15.75" customHeight="1" x14ac:dyDescent="0.25">
      <c r="B258" s="51"/>
      <c r="C258" s="51"/>
      <c r="D258" s="51"/>
      <c r="E258" s="51"/>
      <c r="F258" s="51"/>
      <c r="G258" s="51"/>
      <c r="H258" s="51"/>
    </row>
    <row r="259" spans="2:8" ht="15.75" customHeight="1" x14ac:dyDescent="0.25">
      <c r="B259" s="51"/>
      <c r="C259" s="51"/>
      <c r="D259" s="51"/>
      <c r="E259" s="51"/>
      <c r="F259" s="51"/>
      <c r="G259" s="51"/>
      <c r="H259" s="51"/>
    </row>
    <row r="260" spans="2:8" ht="15.75" customHeight="1" x14ac:dyDescent="0.25">
      <c r="B260" s="51"/>
      <c r="C260" s="51"/>
      <c r="D260" s="51"/>
      <c r="E260" s="51"/>
      <c r="F260" s="51"/>
      <c r="G260" s="51"/>
      <c r="H260" s="51"/>
    </row>
    <row r="261" spans="2:8" ht="15.75" customHeight="1" x14ac:dyDescent="0.25">
      <c r="B261" s="51"/>
      <c r="C261" s="51"/>
      <c r="D261" s="51"/>
      <c r="E261" s="51"/>
      <c r="F261" s="51"/>
      <c r="G261" s="51"/>
      <c r="H261" s="51"/>
    </row>
    <row r="262" spans="2:8" ht="15.75" customHeight="1" x14ac:dyDescent="0.25">
      <c r="B262" s="51"/>
      <c r="C262" s="51"/>
      <c r="D262" s="51"/>
      <c r="E262" s="51"/>
      <c r="F262" s="51"/>
      <c r="G262" s="51"/>
      <c r="H262" s="51"/>
    </row>
    <row r="263" spans="2:8" ht="15.75" customHeight="1" x14ac:dyDescent="0.25">
      <c r="B263" s="51"/>
      <c r="C263" s="51"/>
      <c r="D263" s="51"/>
      <c r="E263" s="51"/>
      <c r="F263" s="51"/>
      <c r="G263" s="51"/>
      <c r="H263" s="51"/>
    </row>
    <row r="264" spans="2:8" ht="15.75" customHeight="1" x14ac:dyDescent="0.25">
      <c r="B264" s="51"/>
      <c r="C264" s="51"/>
      <c r="D264" s="51"/>
      <c r="E264" s="51"/>
      <c r="F264" s="51"/>
      <c r="G264" s="51"/>
      <c r="H264" s="51"/>
    </row>
    <row r="265" spans="2:8" ht="15.75" customHeight="1" x14ac:dyDescent="0.25">
      <c r="B265" s="51"/>
      <c r="C265" s="51"/>
      <c r="D265" s="51"/>
      <c r="E265" s="51"/>
      <c r="F265" s="51"/>
      <c r="G265" s="51"/>
      <c r="H265" s="51"/>
    </row>
    <row r="266" spans="2:8" ht="15.75" customHeight="1" x14ac:dyDescent="0.25">
      <c r="B266" s="51"/>
      <c r="C266" s="51"/>
      <c r="D266" s="51"/>
      <c r="E266" s="51"/>
      <c r="F266" s="51"/>
      <c r="G266" s="51"/>
      <c r="H266" s="51"/>
    </row>
    <row r="267" spans="2:8" ht="15.75" customHeight="1" x14ac:dyDescent="0.25">
      <c r="B267" s="51"/>
      <c r="C267" s="51"/>
      <c r="D267" s="51"/>
      <c r="E267" s="51"/>
      <c r="F267" s="51"/>
      <c r="G267" s="51"/>
      <c r="H267" s="51"/>
    </row>
    <row r="268" spans="2:8" ht="15.75" customHeight="1" x14ac:dyDescent="0.25">
      <c r="B268" s="51"/>
      <c r="C268" s="51"/>
      <c r="D268" s="51"/>
      <c r="E268" s="51"/>
      <c r="F268" s="51"/>
      <c r="G268" s="51"/>
      <c r="H268" s="51"/>
    </row>
    <row r="269" spans="2:8" ht="15.75" customHeight="1" x14ac:dyDescent="0.25">
      <c r="B269" s="51"/>
      <c r="C269" s="51"/>
      <c r="D269" s="51"/>
      <c r="E269" s="51"/>
      <c r="F269" s="51"/>
      <c r="G269" s="51"/>
      <c r="H269" s="51"/>
    </row>
    <row r="270" spans="2:8" ht="15.75" customHeight="1" x14ac:dyDescent="0.25">
      <c r="B270" s="51"/>
      <c r="C270" s="51"/>
      <c r="D270" s="51"/>
      <c r="E270" s="51"/>
      <c r="F270" s="51"/>
      <c r="G270" s="51"/>
      <c r="H270" s="51"/>
    </row>
    <row r="271" spans="2:8" ht="15.75" customHeight="1" x14ac:dyDescent="0.25">
      <c r="B271" s="51"/>
      <c r="C271" s="51"/>
      <c r="D271" s="51"/>
      <c r="E271" s="51"/>
      <c r="F271" s="51"/>
      <c r="G271" s="51"/>
      <c r="H271" s="51"/>
    </row>
    <row r="272" spans="2:8" ht="15.75" customHeight="1" x14ac:dyDescent="0.25">
      <c r="B272" s="51"/>
      <c r="C272" s="51"/>
      <c r="D272" s="51"/>
      <c r="E272" s="51"/>
      <c r="F272" s="51"/>
      <c r="G272" s="51"/>
      <c r="H272" s="51"/>
    </row>
    <row r="273" spans="2:8" ht="15.75" customHeight="1" x14ac:dyDescent="0.25">
      <c r="B273" s="51"/>
      <c r="C273" s="51"/>
      <c r="D273" s="51"/>
      <c r="E273" s="51"/>
      <c r="F273" s="51"/>
      <c r="G273" s="51"/>
      <c r="H273" s="51"/>
    </row>
    <row r="274" spans="2:8" ht="15.75" customHeight="1" x14ac:dyDescent="0.25">
      <c r="B274" s="51"/>
      <c r="C274" s="51"/>
      <c r="D274" s="51"/>
      <c r="E274" s="51"/>
      <c r="F274" s="51"/>
      <c r="G274" s="51"/>
      <c r="H274" s="51"/>
    </row>
    <row r="275" spans="2:8" ht="15.75" customHeight="1" x14ac:dyDescent="0.25">
      <c r="B275" s="51"/>
      <c r="C275" s="51"/>
      <c r="D275" s="51"/>
      <c r="E275" s="51"/>
      <c r="F275" s="51"/>
      <c r="G275" s="51"/>
      <c r="H275" s="51"/>
    </row>
    <row r="276" spans="2:8" ht="15.75" customHeight="1" x14ac:dyDescent="0.25">
      <c r="B276" s="51"/>
      <c r="C276" s="51"/>
      <c r="D276" s="51"/>
      <c r="E276" s="51"/>
      <c r="F276" s="51"/>
      <c r="G276" s="51"/>
      <c r="H276" s="51"/>
    </row>
    <row r="277" spans="2:8" ht="15.75" customHeight="1" x14ac:dyDescent="0.25">
      <c r="B277" s="51"/>
      <c r="C277" s="51"/>
      <c r="D277" s="51"/>
      <c r="E277" s="51"/>
      <c r="F277" s="51"/>
      <c r="G277" s="51"/>
      <c r="H277" s="51"/>
    </row>
    <row r="278" spans="2:8" ht="15.75" customHeight="1" x14ac:dyDescent="0.25">
      <c r="B278" s="51"/>
      <c r="C278" s="51"/>
      <c r="D278" s="51"/>
      <c r="E278" s="51"/>
      <c r="F278" s="51"/>
      <c r="G278" s="51"/>
      <c r="H278" s="51"/>
    </row>
    <row r="279" spans="2:8" ht="15.75" customHeight="1" x14ac:dyDescent="0.25">
      <c r="B279" s="51"/>
      <c r="C279" s="51"/>
      <c r="D279" s="51"/>
      <c r="E279" s="51"/>
      <c r="F279" s="51"/>
      <c r="G279" s="51"/>
      <c r="H279" s="51"/>
    </row>
    <row r="280" spans="2:8" ht="15.75" customHeight="1" x14ac:dyDescent="0.25">
      <c r="B280" s="51"/>
      <c r="C280" s="51"/>
      <c r="D280" s="51"/>
      <c r="E280" s="51"/>
      <c r="F280" s="51"/>
      <c r="G280" s="51"/>
      <c r="H280" s="51"/>
    </row>
    <row r="281" spans="2:8" ht="15.75" customHeight="1" x14ac:dyDescent="0.25">
      <c r="B281" s="51"/>
      <c r="C281" s="51"/>
      <c r="D281" s="51"/>
      <c r="E281" s="51"/>
      <c r="F281" s="51"/>
      <c r="G281" s="51"/>
      <c r="H281" s="51"/>
    </row>
    <row r="282" spans="2:8" ht="15.75" customHeight="1" x14ac:dyDescent="0.25">
      <c r="B282" s="51"/>
      <c r="C282" s="51"/>
      <c r="D282" s="51"/>
      <c r="E282" s="51"/>
      <c r="F282" s="51"/>
      <c r="G282" s="51"/>
      <c r="H282" s="51"/>
    </row>
    <row r="283" spans="2:8" ht="15.75" customHeight="1" x14ac:dyDescent="0.25">
      <c r="B283" s="51"/>
      <c r="C283" s="51"/>
      <c r="D283" s="51"/>
      <c r="E283" s="51"/>
      <c r="F283" s="51"/>
      <c r="G283" s="51"/>
      <c r="H283" s="51"/>
    </row>
    <row r="284" spans="2:8" ht="15.75" customHeight="1" x14ac:dyDescent="0.25">
      <c r="B284" s="51"/>
      <c r="C284" s="51"/>
      <c r="D284" s="51"/>
      <c r="E284" s="51"/>
      <c r="F284" s="51"/>
      <c r="G284" s="51"/>
      <c r="H284" s="51"/>
    </row>
    <row r="285" spans="2:8" ht="15.75" customHeight="1" x14ac:dyDescent="0.25">
      <c r="B285" s="51"/>
      <c r="C285" s="51"/>
      <c r="D285" s="51"/>
      <c r="E285" s="51"/>
      <c r="F285" s="51"/>
      <c r="G285" s="51"/>
      <c r="H285" s="51"/>
    </row>
    <row r="286" spans="2:8" ht="15.75" customHeight="1" x14ac:dyDescent="0.25">
      <c r="B286" s="51"/>
      <c r="C286" s="51"/>
      <c r="D286" s="51"/>
      <c r="E286" s="51"/>
      <c r="F286" s="51"/>
      <c r="G286" s="51"/>
      <c r="H286" s="51"/>
    </row>
    <row r="287" spans="2:8" ht="15.75" customHeight="1" x14ac:dyDescent="0.25">
      <c r="B287" s="51"/>
      <c r="C287" s="51"/>
      <c r="D287" s="51"/>
      <c r="E287" s="51"/>
      <c r="F287" s="51"/>
      <c r="G287" s="51"/>
      <c r="H287" s="51"/>
    </row>
    <row r="288" spans="2:8" ht="15.75" customHeight="1" x14ac:dyDescent="0.25">
      <c r="B288" s="51"/>
      <c r="C288" s="51"/>
      <c r="D288" s="51"/>
      <c r="E288" s="51"/>
      <c r="F288" s="51"/>
      <c r="G288" s="51"/>
      <c r="H288" s="51"/>
    </row>
    <row r="289" spans="2:8" ht="15.75" customHeight="1" x14ac:dyDescent="0.25">
      <c r="B289" s="51"/>
      <c r="C289" s="51"/>
      <c r="D289" s="51"/>
      <c r="E289" s="51"/>
      <c r="F289" s="51"/>
      <c r="G289" s="51"/>
      <c r="H289" s="51"/>
    </row>
    <row r="290" spans="2:8" ht="15.75" customHeight="1" x14ac:dyDescent="0.25">
      <c r="B290" s="51"/>
      <c r="C290" s="51"/>
      <c r="D290" s="51"/>
      <c r="E290" s="51"/>
      <c r="F290" s="51"/>
      <c r="G290" s="51"/>
      <c r="H290" s="51"/>
    </row>
    <row r="291" spans="2:8" ht="15.75" customHeight="1" x14ac:dyDescent="0.25">
      <c r="B291" s="51"/>
      <c r="C291" s="51"/>
      <c r="D291" s="51"/>
      <c r="E291" s="51"/>
      <c r="F291" s="51"/>
      <c r="G291" s="51"/>
      <c r="H291" s="51"/>
    </row>
    <row r="292" spans="2:8" ht="15.75" customHeight="1" x14ac:dyDescent="0.25">
      <c r="B292" s="51"/>
      <c r="C292" s="51"/>
      <c r="D292" s="51"/>
      <c r="E292" s="51"/>
      <c r="F292" s="51"/>
      <c r="G292" s="51"/>
      <c r="H292" s="51"/>
    </row>
    <row r="293" spans="2:8" ht="15.75" customHeight="1" x14ac:dyDescent="0.25">
      <c r="B293" s="51"/>
      <c r="C293" s="51"/>
      <c r="D293" s="51"/>
      <c r="E293" s="51"/>
      <c r="F293" s="51"/>
      <c r="G293" s="51"/>
      <c r="H293" s="51"/>
    </row>
    <row r="294" spans="2:8" ht="15.75" customHeight="1" x14ac:dyDescent="0.25">
      <c r="B294" s="51"/>
      <c r="C294" s="51"/>
      <c r="D294" s="51"/>
      <c r="E294" s="51"/>
      <c r="F294" s="51"/>
      <c r="G294" s="51"/>
      <c r="H294" s="51"/>
    </row>
    <row r="295" spans="2:8" ht="15.75" customHeight="1" x14ac:dyDescent="0.25">
      <c r="B295" s="51"/>
      <c r="C295" s="51"/>
      <c r="D295" s="51"/>
      <c r="E295" s="51"/>
      <c r="F295" s="51"/>
      <c r="G295" s="51"/>
      <c r="H295" s="51"/>
    </row>
    <row r="296" spans="2:8" ht="15.75" customHeight="1" x14ac:dyDescent="0.25">
      <c r="B296" s="51"/>
      <c r="C296" s="51"/>
      <c r="D296" s="51"/>
      <c r="E296" s="51"/>
      <c r="F296" s="51"/>
      <c r="G296" s="51"/>
      <c r="H296" s="51"/>
    </row>
    <row r="297" spans="2:8" ht="15.75" customHeight="1" x14ac:dyDescent="0.25">
      <c r="B297" s="51"/>
      <c r="C297" s="51"/>
      <c r="D297" s="51"/>
      <c r="E297" s="51"/>
      <c r="F297" s="51"/>
      <c r="G297" s="51"/>
      <c r="H297" s="51"/>
    </row>
    <row r="298" spans="2:8" ht="15.75" customHeight="1" x14ac:dyDescent="0.25">
      <c r="B298" s="51"/>
      <c r="C298" s="51"/>
      <c r="D298" s="51"/>
      <c r="E298" s="51"/>
      <c r="F298" s="51"/>
      <c r="G298" s="51"/>
      <c r="H298" s="51"/>
    </row>
    <row r="299" spans="2:8" ht="15.75" customHeight="1" x14ac:dyDescent="0.25">
      <c r="B299" s="51"/>
      <c r="C299" s="51"/>
      <c r="D299" s="51"/>
      <c r="E299" s="51"/>
      <c r="F299" s="51"/>
      <c r="G299" s="51"/>
      <c r="H299" s="51"/>
    </row>
    <row r="300" spans="2:8" ht="15.75" customHeight="1" x14ac:dyDescent="0.25">
      <c r="B300" s="51"/>
      <c r="C300" s="51"/>
      <c r="D300" s="51"/>
      <c r="E300" s="51"/>
      <c r="F300" s="51"/>
      <c r="G300" s="51"/>
      <c r="H300" s="51"/>
    </row>
    <row r="301" spans="2:8" ht="15.75" customHeight="1" x14ac:dyDescent="0.25">
      <c r="B301" s="51"/>
      <c r="C301" s="51"/>
      <c r="D301" s="51"/>
      <c r="E301" s="51"/>
      <c r="F301" s="51"/>
      <c r="G301" s="51"/>
      <c r="H301" s="51"/>
    </row>
    <row r="302" spans="2:8" ht="15.75" customHeight="1" x14ac:dyDescent="0.25">
      <c r="B302" s="51"/>
      <c r="C302" s="51"/>
      <c r="D302" s="51"/>
      <c r="E302" s="51"/>
      <c r="F302" s="51"/>
      <c r="G302" s="51"/>
      <c r="H302" s="51"/>
    </row>
    <row r="303" spans="2:8" ht="15.75" customHeight="1" x14ac:dyDescent="0.25">
      <c r="B303" s="51"/>
      <c r="C303" s="51"/>
      <c r="D303" s="51"/>
      <c r="E303" s="51"/>
      <c r="F303" s="51"/>
      <c r="G303" s="51"/>
      <c r="H303" s="51"/>
    </row>
    <row r="304" spans="2:8" ht="15.75" customHeight="1" x14ac:dyDescent="0.25">
      <c r="B304" s="51"/>
      <c r="C304" s="51"/>
      <c r="D304" s="51"/>
      <c r="E304" s="51"/>
      <c r="F304" s="51"/>
      <c r="G304" s="51"/>
      <c r="H304" s="51"/>
    </row>
    <row r="305" spans="2:8" ht="15.75" customHeight="1" x14ac:dyDescent="0.25">
      <c r="B305" s="51"/>
      <c r="C305" s="51"/>
      <c r="D305" s="51"/>
      <c r="E305" s="51"/>
      <c r="F305" s="51"/>
      <c r="G305" s="51"/>
      <c r="H305" s="51"/>
    </row>
    <row r="306" spans="2:8" ht="15.75" customHeight="1" x14ac:dyDescent="0.25">
      <c r="B306" s="51"/>
      <c r="C306" s="51"/>
      <c r="D306" s="51"/>
      <c r="E306" s="51"/>
      <c r="F306" s="51"/>
      <c r="G306" s="51"/>
      <c r="H306" s="51"/>
    </row>
    <row r="307" spans="2:8" ht="15.75" customHeight="1" x14ac:dyDescent="0.25">
      <c r="B307" s="51"/>
      <c r="C307" s="51"/>
      <c r="D307" s="51"/>
      <c r="E307" s="51"/>
      <c r="F307" s="51"/>
      <c r="G307" s="51"/>
      <c r="H307" s="51"/>
    </row>
    <row r="308" spans="2:8" ht="15.75" customHeight="1" x14ac:dyDescent="0.25">
      <c r="B308" s="51"/>
      <c r="C308" s="51"/>
      <c r="D308" s="51"/>
      <c r="E308" s="51"/>
      <c r="F308" s="51"/>
      <c r="G308" s="51"/>
      <c r="H308" s="51"/>
    </row>
    <row r="309" spans="2:8" ht="15.75" customHeight="1" x14ac:dyDescent="0.25">
      <c r="B309" s="51"/>
      <c r="C309" s="51"/>
      <c r="D309" s="51"/>
      <c r="E309" s="51"/>
      <c r="F309" s="51"/>
      <c r="G309" s="51"/>
      <c r="H309" s="51"/>
    </row>
    <row r="310" spans="2:8" ht="15.75" customHeight="1" x14ac:dyDescent="0.25">
      <c r="B310" s="51"/>
      <c r="C310" s="51"/>
      <c r="D310" s="51"/>
      <c r="E310" s="51"/>
      <c r="F310" s="51"/>
      <c r="G310" s="51"/>
      <c r="H310" s="51"/>
    </row>
    <row r="311" spans="2:8" ht="15.75" customHeight="1" x14ac:dyDescent="0.25">
      <c r="B311" s="51"/>
      <c r="C311" s="51"/>
      <c r="D311" s="51"/>
      <c r="E311" s="51"/>
      <c r="F311" s="51"/>
      <c r="G311" s="51"/>
      <c r="H311" s="51"/>
    </row>
    <row r="312" spans="2:8" ht="15.75" customHeight="1" x14ac:dyDescent="0.25">
      <c r="B312" s="51"/>
      <c r="C312" s="51"/>
      <c r="D312" s="51"/>
      <c r="E312" s="51"/>
      <c r="F312" s="51"/>
      <c r="G312" s="51"/>
      <c r="H312" s="51"/>
    </row>
    <row r="313" spans="2:8" ht="15.75" customHeight="1" x14ac:dyDescent="0.25">
      <c r="B313" s="51"/>
      <c r="C313" s="51"/>
      <c r="D313" s="51"/>
      <c r="E313" s="51"/>
      <c r="F313" s="51"/>
      <c r="G313" s="51"/>
      <c r="H313" s="51"/>
    </row>
    <row r="314" spans="2:8" ht="15.75" customHeight="1" x14ac:dyDescent="0.25">
      <c r="B314" s="51"/>
      <c r="C314" s="51"/>
      <c r="D314" s="51"/>
      <c r="E314" s="51"/>
      <c r="F314" s="51"/>
      <c r="G314" s="51"/>
      <c r="H314" s="51"/>
    </row>
    <row r="315" spans="2:8" ht="15.75" customHeight="1" x14ac:dyDescent="0.25">
      <c r="B315" s="51"/>
      <c r="C315" s="51"/>
      <c r="D315" s="51"/>
      <c r="E315" s="51"/>
      <c r="F315" s="51"/>
      <c r="G315" s="51"/>
      <c r="H315" s="51"/>
    </row>
    <row r="316" spans="2:8" ht="15.75" customHeight="1" x14ac:dyDescent="0.25">
      <c r="B316" s="51"/>
      <c r="C316" s="51"/>
      <c r="D316" s="51"/>
      <c r="E316" s="51"/>
      <c r="F316" s="51"/>
      <c r="G316" s="51"/>
      <c r="H316" s="51"/>
    </row>
    <row r="317" spans="2:8" ht="15.75" customHeight="1" x14ac:dyDescent="0.25">
      <c r="B317" s="51"/>
      <c r="C317" s="51"/>
      <c r="D317" s="51"/>
      <c r="E317" s="51"/>
      <c r="F317" s="51"/>
      <c r="G317" s="51"/>
      <c r="H317" s="51"/>
    </row>
    <row r="318" spans="2:8" ht="15.75" customHeight="1" x14ac:dyDescent="0.25">
      <c r="B318" s="51"/>
      <c r="C318" s="51"/>
      <c r="D318" s="51"/>
      <c r="E318" s="51"/>
      <c r="F318" s="51"/>
      <c r="G318" s="51"/>
      <c r="H318" s="51"/>
    </row>
    <row r="319" spans="2:8" ht="15.75" customHeight="1" x14ac:dyDescent="0.25">
      <c r="B319" s="51"/>
      <c r="C319" s="51"/>
      <c r="D319" s="51"/>
      <c r="E319" s="51"/>
      <c r="F319" s="51"/>
      <c r="G319" s="51"/>
      <c r="H319" s="51"/>
    </row>
    <row r="320" spans="2:8" ht="15.75" customHeight="1" x14ac:dyDescent="0.25">
      <c r="B320" s="51"/>
      <c r="C320" s="51"/>
      <c r="D320" s="51"/>
      <c r="E320" s="51"/>
      <c r="F320" s="51"/>
      <c r="G320" s="51"/>
      <c r="H320" s="51"/>
    </row>
    <row r="321" spans="2:8" ht="15.75" customHeight="1" x14ac:dyDescent="0.25">
      <c r="B321" s="51"/>
      <c r="C321" s="51"/>
      <c r="D321" s="51"/>
      <c r="E321" s="51"/>
      <c r="F321" s="51"/>
      <c r="G321" s="51"/>
      <c r="H321" s="51"/>
    </row>
    <row r="322" spans="2:8" ht="15.75" customHeight="1" x14ac:dyDescent="0.25">
      <c r="B322" s="51"/>
      <c r="C322" s="51"/>
      <c r="D322" s="51"/>
      <c r="E322" s="51"/>
      <c r="F322" s="51"/>
      <c r="G322" s="51"/>
      <c r="H322" s="51"/>
    </row>
    <row r="323" spans="2:8" ht="15.75" customHeight="1" x14ac:dyDescent="0.25">
      <c r="B323" s="51"/>
      <c r="C323" s="51"/>
      <c r="D323" s="51"/>
      <c r="E323" s="51"/>
      <c r="F323" s="51"/>
      <c r="G323" s="51"/>
      <c r="H323" s="51"/>
    </row>
    <row r="324" spans="2:8" ht="15.75" customHeight="1" x14ac:dyDescent="0.25">
      <c r="B324" s="51"/>
      <c r="C324" s="51"/>
      <c r="D324" s="51"/>
      <c r="E324" s="51"/>
      <c r="F324" s="51"/>
      <c r="G324" s="51"/>
      <c r="H324" s="51"/>
    </row>
    <row r="325" spans="2:8" ht="15.75" customHeight="1" x14ac:dyDescent="0.25">
      <c r="B325" s="51"/>
      <c r="C325" s="51"/>
      <c r="D325" s="51"/>
      <c r="E325" s="51"/>
      <c r="F325" s="51"/>
      <c r="G325" s="51"/>
      <c r="H325" s="51"/>
    </row>
    <row r="326" spans="2:8" ht="15.75" customHeight="1" x14ac:dyDescent="0.25">
      <c r="B326" s="51"/>
      <c r="C326" s="51"/>
      <c r="D326" s="51"/>
      <c r="E326" s="51"/>
      <c r="F326" s="51"/>
      <c r="G326" s="51"/>
      <c r="H326" s="51"/>
    </row>
    <row r="327" spans="2:8" ht="15.75" customHeight="1" x14ac:dyDescent="0.25">
      <c r="B327" s="51"/>
      <c r="C327" s="51"/>
      <c r="D327" s="51"/>
      <c r="E327" s="51"/>
      <c r="F327" s="51"/>
      <c r="G327" s="51"/>
      <c r="H327" s="51"/>
    </row>
    <row r="328" spans="2:8" ht="15.75" customHeight="1" x14ac:dyDescent="0.25">
      <c r="B328" s="51"/>
      <c r="C328" s="51"/>
      <c r="D328" s="51"/>
      <c r="E328" s="51"/>
      <c r="F328" s="51"/>
      <c r="G328" s="51"/>
      <c r="H328" s="51"/>
    </row>
    <row r="329" spans="2:8" ht="15.75" customHeight="1" x14ac:dyDescent="0.25">
      <c r="B329" s="51"/>
      <c r="C329" s="51"/>
      <c r="D329" s="51"/>
      <c r="E329" s="51"/>
      <c r="F329" s="51"/>
      <c r="G329" s="51"/>
      <c r="H329" s="51"/>
    </row>
    <row r="330" spans="2:8" ht="15.75" customHeight="1" x14ac:dyDescent="0.25">
      <c r="B330" s="51"/>
      <c r="C330" s="51"/>
      <c r="D330" s="51"/>
      <c r="E330" s="51"/>
      <c r="F330" s="51"/>
      <c r="G330" s="51"/>
      <c r="H330" s="51"/>
    </row>
    <row r="331" spans="2:8" ht="15.75" customHeight="1" x14ac:dyDescent="0.25">
      <c r="B331" s="51"/>
      <c r="C331" s="51"/>
      <c r="D331" s="51"/>
      <c r="E331" s="51"/>
      <c r="F331" s="51"/>
      <c r="G331" s="51"/>
      <c r="H331" s="51"/>
    </row>
    <row r="332" spans="2:8" ht="15.75" customHeight="1" x14ac:dyDescent="0.25">
      <c r="B332" s="51"/>
      <c r="C332" s="51"/>
      <c r="D332" s="51"/>
      <c r="E332" s="51"/>
      <c r="F332" s="51"/>
      <c r="G332" s="51"/>
      <c r="H332" s="51"/>
    </row>
    <row r="333" spans="2:8" ht="15.75" customHeight="1" x14ac:dyDescent="0.25">
      <c r="B333" s="51"/>
      <c r="C333" s="51"/>
      <c r="D333" s="51"/>
      <c r="E333" s="51"/>
      <c r="F333" s="51"/>
      <c r="G333" s="51"/>
      <c r="H333" s="51"/>
    </row>
    <row r="334" spans="2:8" ht="15.75" customHeight="1" x14ac:dyDescent="0.25">
      <c r="B334" s="51"/>
      <c r="C334" s="51"/>
      <c r="D334" s="51"/>
      <c r="E334" s="51"/>
      <c r="F334" s="51"/>
      <c r="G334" s="51"/>
      <c r="H334" s="51"/>
    </row>
    <row r="335" spans="2:8" ht="15.75" customHeight="1" x14ac:dyDescent="0.25">
      <c r="B335" s="51"/>
      <c r="C335" s="51"/>
      <c r="D335" s="51"/>
      <c r="E335" s="51"/>
      <c r="F335" s="51"/>
      <c r="G335" s="51"/>
      <c r="H335" s="51"/>
    </row>
    <row r="336" spans="2:8" ht="15.75" customHeight="1" x14ac:dyDescent="0.25">
      <c r="B336" s="51"/>
      <c r="C336" s="51"/>
      <c r="D336" s="51"/>
      <c r="E336" s="51"/>
      <c r="F336" s="51"/>
      <c r="G336" s="51"/>
      <c r="H336" s="51"/>
    </row>
    <row r="337" spans="2:8" ht="15.75" customHeight="1" x14ac:dyDescent="0.25">
      <c r="B337" s="51"/>
      <c r="C337" s="51"/>
      <c r="D337" s="51"/>
      <c r="E337" s="51"/>
      <c r="F337" s="51"/>
      <c r="G337" s="51"/>
      <c r="H337" s="51"/>
    </row>
    <row r="338" spans="2:8" ht="15.75" customHeight="1" x14ac:dyDescent="0.25">
      <c r="B338" s="51"/>
      <c r="C338" s="51"/>
      <c r="D338" s="51"/>
      <c r="E338" s="51"/>
      <c r="F338" s="51"/>
      <c r="G338" s="51"/>
      <c r="H338" s="51"/>
    </row>
    <row r="339" spans="2:8" ht="15.75" customHeight="1" x14ac:dyDescent="0.25">
      <c r="B339" s="51"/>
      <c r="C339" s="51"/>
      <c r="D339" s="51"/>
      <c r="E339" s="51"/>
      <c r="F339" s="51"/>
      <c r="G339" s="51"/>
      <c r="H339" s="51"/>
    </row>
    <row r="340" spans="2:8" ht="15.75" customHeight="1" x14ac:dyDescent="0.25">
      <c r="B340" s="51"/>
      <c r="C340" s="51"/>
      <c r="D340" s="51"/>
      <c r="E340" s="51"/>
      <c r="F340" s="51"/>
      <c r="G340" s="51"/>
      <c r="H340" s="51"/>
    </row>
    <row r="341" spans="2:8" ht="15.75" customHeight="1" x14ac:dyDescent="0.25">
      <c r="B341" s="51"/>
      <c r="C341" s="51"/>
      <c r="D341" s="51"/>
      <c r="E341" s="51"/>
      <c r="F341" s="51"/>
      <c r="G341" s="51"/>
      <c r="H341" s="51"/>
    </row>
    <row r="342" spans="2:8" ht="15.75" customHeight="1" x14ac:dyDescent="0.25">
      <c r="B342" s="51"/>
      <c r="C342" s="51"/>
      <c r="D342" s="51"/>
      <c r="E342" s="51"/>
      <c r="F342" s="51"/>
      <c r="G342" s="51"/>
      <c r="H342" s="51"/>
    </row>
    <row r="343" spans="2:8" ht="15.75" customHeight="1" x14ac:dyDescent="0.25">
      <c r="B343" s="51"/>
      <c r="C343" s="51"/>
      <c r="D343" s="51"/>
      <c r="E343" s="51"/>
      <c r="F343" s="51"/>
      <c r="G343" s="51"/>
      <c r="H343" s="51"/>
    </row>
    <row r="344" spans="2:8" ht="15.75" customHeight="1" x14ac:dyDescent="0.25">
      <c r="B344" s="51"/>
      <c r="C344" s="51"/>
      <c r="D344" s="51"/>
      <c r="E344" s="51"/>
      <c r="F344" s="51"/>
      <c r="G344" s="51"/>
      <c r="H344" s="51"/>
    </row>
    <row r="345" spans="2:8" ht="15.75" customHeight="1" x14ac:dyDescent="0.25">
      <c r="B345" s="51"/>
      <c r="C345" s="51"/>
      <c r="D345" s="51"/>
      <c r="E345" s="51"/>
      <c r="F345" s="51"/>
      <c r="G345" s="51"/>
      <c r="H345" s="51"/>
    </row>
    <row r="346" spans="2:8" ht="15.75" customHeight="1" x14ac:dyDescent="0.25">
      <c r="B346" s="51"/>
      <c r="C346" s="51"/>
      <c r="D346" s="51"/>
      <c r="E346" s="51"/>
      <c r="F346" s="51"/>
      <c r="G346" s="51"/>
      <c r="H346" s="51"/>
    </row>
    <row r="347" spans="2:8" ht="15.75" customHeight="1" x14ac:dyDescent="0.25">
      <c r="B347" s="51"/>
      <c r="C347" s="51"/>
      <c r="D347" s="51"/>
      <c r="E347" s="51"/>
      <c r="F347" s="51"/>
      <c r="G347" s="51"/>
      <c r="H347" s="51"/>
    </row>
    <row r="348" spans="2:8" ht="15.75" customHeight="1" x14ac:dyDescent="0.25">
      <c r="B348" s="51"/>
      <c r="C348" s="51"/>
      <c r="D348" s="51"/>
      <c r="E348" s="51"/>
      <c r="F348" s="51"/>
      <c r="G348" s="51"/>
      <c r="H348" s="51"/>
    </row>
    <row r="349" spans="2:8" ht="15.75" customHeight="1" x14ac:dyDescent="0.25">
      <c r="B349" s="51"/>
      <c r="C349" s="51"/>
      <c r="D349" s="51"/>
      <c r="E349" s="51"/>
      <c r="F349" s="51"/>
      <c r="G349" s="51"/>
      <c r="H349" s="51"/>
    </row>
    <row r="350" spans="2:8" ht="15.75" customHeight="1" x14ac:dyDescent="0.25">
      <c r="B350" s="51"/>
      <c r="C350" s="51"/>
      <c r="D350" s="51"/>
      <c r="E350" s="51"/>
      <c r="F350" s="51"/>
      <c r="G350" s="51"/>
      <c r="H350" s="51"/>
    </row>
    <row r="351" spans="2:8" ht="15.75" customHeight="1" x14ac:dyDescent="0.25">
      <c r="B351" s="51"/>
      <c r="C351" s="51"/>
      <c r="D351" s="51"/>
      <c r="E351" s="51"/>
      <c r="F351" s="51"/>
      <c r="G351" s="51"/>
      <c r="H351" s="51"/>
    </row>
    <row r="352" spans="2:8" ht="15.75" customHeight="1" x14ac:dyDescent="0.25">
      <c r="B352" s="51"/>
      <c r="C352" s="51"/>
      <c r="D352" s="51"/>
      <c r="E352" s="51"/>
      <c r="F352" s="51"/>
      <c r="G352" s="51"/>
      <c r="H352" s="51"/>
    </row>
    <row r="353" spans="2:8" ht="15.75" customHeight="1" x14ac:dyDescent="0.25">
      <c r="B353" s="51"/>
      <c r="C353" s="51"/>
      <c r="D353" s="51"/>
      <c r="E353" s="51"/>
      <c r="F353" s="51"/>
      <c r="G353" s="51"/>
      <c r="H353" s="51"/>
    </row>
    <row r="354" spans="2:8" ht="15.75" customHeight="1" x14ac:dyDescent="0.25">
      <c r="B354" s="51"/>
      <c r="C354" s="51"/>
      <c r="D354" s="51"/>
      <c r="E354" s="51"/>
      <c r="F354" s="51"/>
      <c r="G354" s="51"/>
      <c r="H354" s="51"/>
    </row>
    <row r="355" spans="2:8" ht="15.75" customHeight="1" x14ac:dyDescent="0.25">
      <c r="B355" s="51"/>
      <c r="C355" s="51"/>
      <c r="D355" s="51"/>
      <c r="E355" s="51"/>
      <c r="F355" s="51"/>
      <c r="G355" s="51"/>
      <c r="H355" s="51"/>
    </row>
    <row r="356" spans="2:8" ht="15.75" customHeight="1" x14ac:dyDescent="0.25">
      <c r="B356" s="51"/>
      <c r="C356" s="51"/>
      <c r="D356" s="51"/>
      <c r="E356" s="51"/>
      <c r="F356" s="51"/>
      <c r="G356" s="51"/>
      <c r="H356" s="51"/>
    </row>
    <row r="357" spans="2:8" ht="15.75" customHeight="1" x14ac:dyDescent="0.25">
      <c r="B357" s="51"/>
      <c r="C357" s="51"/>
      <c r="D357" s="51"/>
      <c r="E357" s="51"/>
      <c r="F357" s="51"/>
      <c r="G357" s="51"/>
      <c r="H357" s="51"/>
    </row>
    <row r="358" spans="2:8" ht="15.75" customHeight="1" x14ac:dyDescent="0.25">
      <c r="B358" s="51"/>
      <c r="C358" s="51"/>
      <c r="D358" s="51"/>
      <c r="E358" s="51"/>
      <c r="F358" s="51"/>
      <c r="G358" s="51"/>
      <c r="H358" s="51"/>
    </row>
    <row r="359" spans="2:8" ht="15.75" customHeight="1" x14ac:dyDescent="0.25">
      <c r="B359" s="51"/>
      <c r="C359" s="51"/>
      <c r="D359" s="51"/>
      <c r="E359" s="51"/>
      <c r="F359" s="51"/>
      <c r="G359" s="51"/>
      <c r="H359" s="51"/>
    </row>
    <row r="360" spans="2:8" ht="15.75" customHeight="1" x14ac:dyDescent="0.25">
      <c r="B360" s="51"/>
      <c r="C360" s="51"/>
      <c r="D360" s="51"/>
      <c r="E360" s="51"/>
      <c r="F360" s="51"/>
      <c r="G360" s="51"/>
      <c r="H360" s="51"/>
    </row>
    <row r="361" spans="2:8" ht="15.75" customHeight="1" x14ac:dyDescent="0.25">
      <c r="B361" s="51"/>
      <c r="C361" s="51"/>
      <c r="D361" s="51"/>
      <c r="E361" s="51"/>
      <c r="F361" s="51"/>
      <c r="G361" s="51"/>
      <c r="H361" s="51"/>
    </row>
    <row r="362" spans="2:8" ht="15.75" customHeight="1" x14ac:dyDescent="0.25">
      <c r="B362" s="51"/>
      <c r="C362" s="51"/>
      <c r="D362" s="51"/>
      <c r="E362" s="51"/>
      <c r="F362" s="51"/>
      <c r="G362" s="51"/>
      <c r="H362" s="51"/>
    </row>
    <row r="363" spans="2:8" ht="15.75" customHeight="1" x14ac:dyDescent="0.25">
      <c r="B363" s="51"/>
      <c r="C363" s="51"/>
      <c r="D363" s="51"/>
      <c r="E363" s="51"/>
      <c r="F363" s="51"/>
      <c r="G363" s="51"/>
      <c r="H363" s="51"/>
    </row>
    <row r="364" spans="2:8" ht="15.75" customHeight="1" x14ac:dyDescent="0.25">
      <c r="B364" s="51"/>
      <c r="C364" s="51"/>
      <c r="D364" s="51"/>
      <c r="E364" s="51"/>
      <c r="F364" s="51"/>
      <c r="G364" s="51"/>
      <c r="H364" s="51"/>
    </row>
    <row r="365" spans="2:8" ht="15.75" customHeight="1" x14ac:dyDescent="0.25">
      <c r="B365" s="51"/>
      <c r="C365" s="51"/>
      <c r="D365" s="51"/>
      <c r="E365" s="51"/>
      <c r="F365" s="51"/>
      <c r="G365" s="51"/>
      <c r="H365" s="51"/>
    </row>
    <row r="366" spans="2:8" ht="15.75" customHeight="1" x14ac:dyDescent="0.25">
      <c r="B366" s="51"/>
      <c r="C366" s="51"/>
      <c r="D366" s="51"/>
      <c r="E366" s="51"/>
      <c r="F366" s="51"/>
      <c r="G366" s="51"/>
      <c r="H366" s="51"/>
    </row>
    <row r="367" spans="2:8" ht="15.75" customHeight="1" x14ac:dyDescent="0.25">
      <c r="B367" s="51"/>
      <c r="C367" s="51"/>
      <c r="D367" s="51"/>
      <c r="E367" s="51"/>
      <c r="F367" s="51"/>
      <c r="G367" s="51"/>
      <c r="H367" s="51"/>
    </row>
    <row r="368" spans="2:8" ht="15.75" customHeight="1" x14ac:dyDescent="0.25">
      <c r="B368" s="51"/>
      <c r="C368" s="51"/>
      <c r="D368" s="51"/>
      <c r="E368" s="51"/>
      <c r="F368" s="51"/>
      <c r="G368" s="51"/>
      <c r="H368" s="51"/>
    </row>
    <row r="369" spans="2:8" ht="15.75" customHeight="1" x14ac:dyDescent="0.25">
      <c r="B369" s="51"/>
      <c r="C369" s="51"/>
      <c r="D369" s="51"/>
      <c r="E369" s="51"/>
      <c r="F369" s="51"/>
      <c r="G369" s="51"/>
      <c r="H369" s="51"/>
    </row>
    <row r="370" spans="2:8" ht="15.75" customHeight="1" x14ac:dyDescent="0.25">
      <c r="B370" s="51"/>
      <c r="C370" s="51"/>
      <c r="D370" s="51"/>
      <c r="E370" s="51"/>
      <c r="F370" s="51"/>
      <c r="G370" s="51"/>
      <c r="H370" s="51"/>
    </row>
    <row r="371" spans="2:8" ht="15.75" customHeight="1" x14ac:dyDescent="0.25">
      <c r="B371" s="51"/>
      <c r="C371" s="51"/>
      <c r="D371" s="51"/>
      <c r="E371" s="51"/>
      <c r="F371" s="51"/>
      <c r="G371" s="51"/>
      <c r="H371" s="51"/>
    </row>
    <row r="372" spans="2:8" ht="15.75" customHeight="1" x14ac:dyDescent="0.25">
      <c r="B372" s="51"/>
      <c r="C372" s="51"/>
      <c r="D372" s="51"/>
      <c r="E372" s="51"/>
      <c r="F372" s="51"/>
      <c r="G372" s="51"/>
      <c r="H372" s="51"/>
    </row>
    <row r="373" spans="2:8" ht="15.75" customHeight="1" x14ac:dyDescent="0.25">
      <c r="B373" s="51"/>
      <c r="C373" s="51"/>
      <c r="D373" s="51"/>
      <c r="E373" s="51"/>
      <c r="F373" s="51"/>
      <c r="G373" s="51"/>
      <c r="H373" s="51"/>
    </row>
    <row r="374" spans="2:8" ht="15.75" customHeight="1" x14ac:dyDescent="0.25">
      <c r="B374" s="51"/>
      <c r="C374" s="51"/>
      <c r="D374" s="51"/>
      <c r="E374" s="51"/>
      <c r="F374" s="51"/>
      <c r="G374" s="51"/>
      <c r="H374" s="51"/>
    </row>
    <row r="375" spans="2:8" ht="15.75" customHeight="1" x14ac:dyDescent="0.25">
      <c r="B375" s="51"/>
      <c r="C375" s="51"/>
      <c r="D375" s="51"/>
      <c r="E375" s="51"/>
      <c r="F375" s="51"/>
      <c r="G375" s="51"/>
      <c r="H375" s="51"/>
    </row>
    <row r="376" spans="2:8" ht="15.75" customHeight="1" x14ac:dyDescent="0.25">
      <c r="B376" s="51"/>
      <c r="C376" s="51"/>
      <c r="D376" s="51"/>
      <c r="E376" s="51"/>
      <c r="F376" s="51"/>
      <c r="G376" s="51"/>
      <c r="H376" s="51"/>
    </row>
    <row r="377" spans="2:8" ht="15.75" customHeight="1" x14ac:dyDescent="0.25">
      <c r="B377" s="51"/>
      <c r="C377" s="51"/>
      <c r="D377" s="51"/>
      <c r="E377" s="51"/>
      <c r="F377" s="51"/>
      <c r="G377" s="51"/>
      <c r="H377" s="51"/>
    </row>
    <row r="378" spans="2:8" ht="15.75" customHeight="1" x14ac:dyDescent="0.25">
      <c r="B378" s="51"/>
      <c r="C378" s="51"/>
      <c r="D378" s="51"/>
      <c r="E378" s="51"/>
      <c r="F378" s="51"/>
      <c r="G378" s="51"/>
      <c r="H378" s="51"/>
    </row>
    <row r="379" spans="2:8" ht="15.75" customHeight="1" x14ac:dyDescent="0.25">
      <c r="B379" s="51"/>
      <c r="C379" s="51"/>
      <c r="D379" s="51"/>
      <c r="E379" s="51"/>
      <c r="F379" s="51"/>
      <c r="G379" s="51"/>
      <c r="H379" s="51"/>
    </row>
    <row r="380" spans="2:8" ht="15.75" customHeight="1" x14ac:dyDescent="0.25">
      <c r="B380" s="51"/>
      <c r="C380" s="51"/>
      <c r="D380" s="51"/>
      <c r="E380" s="51"/>
      <c r="F380" s="51"/>
      <c r="G380" s="51"/>
      <c r="H380" s="51"/>
    </row>
    <row r="381" spans="2:8" ht="15.75" customHeight="1" x14ac:dyDescent="0.25">
      <c r="B381" s="51"/>
      <c r="C381" s="51"/>
      <c r="D381" s="51"/>
      <c r="E381" s="51"/>
      <c r="F381" s="51"/>
      <c r="G381" s="51"/>
      <c r="H381" s="51"/>
    </row>
    <row r="382" spans="2:8" ht="15.75" customHeight="1" x14ac:dyDescent="0.25">
      <c r="B382" s="51"/>
      <c r="C382" s="51"/>
      <c r="D382" s="51"/>
      <c r="E382" s="51"/>
      <c r="F382" s="51"/>
      <c r="G382" s="51"/>
      <c r="H382" s="51"/>
    </row>
    <row r="383" spans="2:8" ht="15.75" customHeight="1" x14ac:dyDescent="0.25">
      <c r="B383" s="51"/>
      <c r="C383" s="51"/>
      <c r="D383" s="51"/>
      <c r="E383" s="51"/>
      <c r="F383" s="51"/>
      <c r="G383" s="51"/>
      <c r="H383" s="51"/>
    </row>
    <row r="384" spans="2:8" ht="15.75" customHeight="1" x14ac:dyDescent="0.25">
      <c r="B384" s="51"/>
      <c r="C384" s="51"/>
      <c r="D384" s="51"/>
      <c r="E384" s="51"/>
      <c r="F384" s="51"/>
      <c r="G384" s="51"/>
      <c r="H384" s="51"/>
    </row>
    <row r="385" spans="2:8" ht="15.75" customHeight="1" x14ac:dyDescent="0.25">
      <c r="B385" s="51"/>
      <c r="C385" s="51"/>
      <c r="D385" s="51"/>
      <c r="E385" s="51"/>
      <c r="F385" s="51"/>
      <c r="G385" s="51"/>
      <c r="H385" s="51"/>
    </row>
    <row r="386" spans="2:8" ht="15.75" customHeight="1" x14ac:dyDescent="0.25">
      <c r="B386" s="51"/>
      <c r="C386" s="51"/>
      <c r="D386" s="51"/>
      <c r="E386" s="51"/>
      <c r="F386" s="51"/>
      <c r="G386" s="51"/>
      <c r="H386" s="51"/>
    </row>
    <row r="387" spans="2:8" ht="15.75" customHeight="1" x14ac:dyDescent="0.25">
      <c r="B387" s="51"/>
      <c r="C387" s="51"/>
      <c r="D387" s="51"/>
      <c r="E387" s="51"/>
      <c r="F387" s="51"/>
      <c r="G387" s="51"/>
      <c r="H387" s="51"/>
    </row>
    <row r="388" spans="2:8" ht="15.75" customHeight="1" x14ac:dyDescent="0.25">
      <c r="B388" s="51"/>
      <c r="C388" s="51"/>
      <c r="D388" s="51"/>
      <c r="E388" s="51"/>
      <c r="F388" s="51"/>
      <c r="G388" s="51"/>
      <c r="H388" s="51"/>
    </row>
    <row r="389" spans="2:8" ht="15.75" customHeight="1" x14ac:dyDescent="0.25">
      <c r="B389" s="51"/>
      <c r="C389" s="51"/>
      <c r="D389" s="51"/>
      <c r="E389" s="51"/>
      <c r="F389" s="51"/>
      <c r="G389" s="51"/>
      <c r="H389" s="51"/>
    </row>
    <row r="390" spans="2:8" ht="15.75" customHeight="1" x14ac:dyDescent="0.25">
      <c r="B390" s="51"/>
      <c r="C390" s="51"/>
      <c r="D390" s="51"/>
      <c r="E390" s="51"/>
      <c r="F390" s="51"/>
      <c r="G390" s="51"/>
      <c r="H390" s="51"/>
    </row>
    <row r="391" spans="2:8" ht="15.75" customHeight="1" x14ac:dyDescent="0.25">
      <c r="B391" s="51"/>
      <c r="C391" s="51"/>
      <c r="D391" s="51"/>
      <c r="E391" s="51"/>
      <c r="F391" s="51"/>
      <c r="G391" s="51"/>
      <c r="H391" s="51"/>
    </row>
    <row r="392" spans="2:8" ht="15.75" customHeight="1" x14ac:dyDescent="0.25">
      <c r="B392" s="51"/>
      <c r="C392" s="51"/>
      <c r="D392" s="51"/>
      <c r="E392" s="51"/>
      <c r="F392" s="51"/>
      <c r="G392" s="51"/>
      <c r="H392" s="51"/>
    </row>
    <row r="393" spans="2:8" ht="15.75" customHeight="1" x14ac:dyDescent="0.25">
      <c r="B393" s="51"/>
      <c r="C393" s="51"/>
      <c r="D393" s="51"/>
      <c r="E393" s="51"/>
      <c r="F393" s="51"/>
      <c r="G393" s="51"/>
      <c r="H393" s="51"/>
    </row>
    <row r="394" spans="2:8" ht="15.75" customHeight="1" x14ac:dyDescent="0.25">
      <c r="B394" s="51"/>
      <c r="C394" s="51"/>
      <c r="D394" s="51"/>
      <c r="E394" s="51"/>
      <c r="F394" s="51"/>
      <c r="G394" s="51"/>
      <c r="H394" s="51"/>
    </row>
    <row r="395" spans="2:8" ht="15.75" customHeight="1" x14ac:dyDescent="0.25">
      <c r="B395" s="51"/>
      <c r="C395" s="51"/>
      <c r="D395" s="51"/>
      <c r="E395" s="51"/>
      <c r="F395" s="51"/>
      <c r="G395" s="51"/>
      <c r="H395" s="51"/>
    </row>
    <row r="396" spans="2:8" ht="15.75" customHeight="1" x14ac:dyDescent="0.25">
      <c r="B396" s="51"/>
      <c r="C396" s="51"/>
      <c r="D396" s="51"/>
      <c r="E396" s="51"/>
      <c r="F396" s="51"/>
      <c r="G396" s="51"/>
      <c r="H396" s="51"/>
    </row>
    <row r="397" spans="2:8" ht="15.75" customHeight="1" x14ac:dyDescent="0.25">
      <c r="B397" s="51"/>
      <c r="C397" s="51"/>
      <c r="D397" s="51"/>
      <c r="E397" s="51"/>
      <c r="F397" s="51"/>
      <c r="G397" s="51"/>
      <c r="H397" s="51"/>
    </row>
    <row r="398" spans="2:8" ht="15.75" customHeight="1" x14ac:dyDescent="0.25">
      <c r="B398" s="51"/>
      <c r="C398" s="51"/>
      <c r="D398" s="51"/>
      <c r="E398" s="51"/>
      <c r="F398" s="51"/>
      <c r="G398" s="51"/>
      <c r="H398" s="51"/>
    </row>
    <row r="399" spans="2:8" ht="15.75" customHeight="1" x14ac:dyDescent="0.25">
      <c r="B399" s="51"/>
      <c r="C399" s="51"/>
      <c r="D399" s="51"/>
      <c r="E399" s="51"/>
      <c r="F399" s="51"/>
      <c r="G399" s="51"/>
      <c r="H399" s="51"/>
    </row>
    <row r="400" spans="2:8" ht="15.75" customHeight="1" x14ac:dyDescent="0.25">
      <c r="B400" s="51"/>
      <c r="C400" s="51"/>
      <c r="D400" s="51"/>
      <c r="E400" s="51"/>
      <c r="F400" s="51"/>
      <c r="G400" s="51"/>
      <c r="H400" s="51"/>
    </row>
    <row r="401" spans="2:8" ht="15.75" customHeight="1" x14ac:dyDescent="0.25">
      <c r="B401" s="51"/>
      <c r="C401" s="51"/>
      <c r="D401" s="51"/>
      <c r="E401" s="51"/>
      <c r="F401" s="51"/>
      <c r="G401" s="51"/>
      <c r="H401" s="51"/>
    </row>
    <row r="402" spans="2:8" ht="15.75" customHeight="1" x14ac:dyDescent="0.25">
      <c r="B402" s="51"/>
      <c r="C402" s="51"/>
      <c r="D402" s="51"/>
      <c r="E402" s="51"/>
      <c r="F402" s="51"/>
      <c r="G402" s="51"/>
      <c r="H402" s="51"/>
    </row>
    <row r="403" spans="2:8" ht="15.75" customHeight="1" x14ac:dyDescent="0.25">
      <c r="B403" s="51"/>
      <c r="C403" s="51"/>
      <c r="D403" s="51"/>
      <c r="E403" s="51"/>
      <c r="F403" s="51"/>
      <c r="G403" s="51"/>
      <c r="H403" s="51"/>
    </row>
    <row r="404" spans="2:8" ht="15.75" customHeight="1" x14ac:dyDescent="0.25">
      <c r="B404" s="51"/>
      <c r="C404" s="51"/>
      <c r="D404" s="51"/>
      <c r="E404" s="51"/>
      <c r="F404" s="51"/>
      <c r="G404" s="51"/>
      <c r="H404" s="51"/>
    </row>
    <row r="405" spans="2:8" ht="15.75" customHeight="1" x14ac:dyDescent="0.25">
      <c r="B405" s="51"/>
      <c r="C405" s="51"/>
      <c r="D405" s="51"/>
      <c r="E405" s="51"/>
      <c r="F405" s="51"/>
      <c r="G405" s="51"/>
      <c r="H405" s="51"/>
    </row>
    <row r="406" spans="2:8" ht="15.75" customHeight="1" x14ac:dyDescent="0.25">
      <c r="B406" s="51"/>
      <c r="C406" s="51"/>
      <c r="D406" s="51"/>
      <c r="E406" s="51"/>
      <c r="F406" s="51"/>
      <c r="G406" s="51"/>
      <c r="H406" s="51"/>
    </row>
    <row r="407" spans="2:8" ht="15.75" customHeight="1" x14ac:dyDescent="0.25">
      <c r="B407" s="51"/>
      <c r="C407" s="51"/>
      <c r="D407" s="51"/>
      <c r="E407" s="51"/>
      <c r="F407" s="51"/>
      <c r="G407" s="51"/>
      <c r="H407" s="51"/>
    </row>
    <row r="408" spans="2:8" ht="15.75" customHeight="1" x14ac:dyDescent="0.25">
      <c r="B408" s="51"/>
      <c r="C408" s="51"/>
      <c r="D408" s="51"/>
      <c r="E408" s="51"/>
      <c r="F408" s="51"/>
      <c r="G408" s="51"/>
      <c r="H408" s="51"/>
    </row>
    <row r="409" spans="2:8" ht="15.75" customHeight="1" x14ac:dyDescent="0.25">
      <c r="B409" s="51"/>
      <c r="C409" s="51"/>
      <c r="D409" s="51"/>
      <c r="E409" s="51"/>
      <c r="F409" s="51"/>
      <c r="G409" s="51"/>
      <c r="H409" s="51"/>
    </row>
    <row r="410" spans="2:8" ht="15.75" customHeight="1" x14ac:dyDescent="0.25">
      <c r="B410" s="51"/>
      <c r="C410" s="51"/>
      <c r="D410" s="51"/>
      <c r="E410" s="51"/>
      <c r="F410" s="51"/>
      <c r="G410" s="51"/>
      <c r="H410" s="51"/>
    </row>
    <row r="411" spans="2:8" ht="15.75" customHeight="1" x14ac:dyDescent="0.25">
      <c r="B411" s="51"/>
      <c r="C411" s="51"/>
      <c r="D411" s="51"/>
      <c r="E411" s="51"/>
      <c r="F411" s="51"/>
      <c r="G411" s="51"/>
      <c r="H411" s="51"/>
    </row>
    <row r="412" spans="2:8" ht="15.75" customHeight="1" x14ac:dyDescent="0.25">
      <c r="B412" s="51"/>
      <c r="C412" s="51"/>
      <c r="D412" s="51"/>
      <c r="E412" s="51"/>
      <c r="F412" s="51"/>
      <c r="G412" s="51"/>
      <c r="H412" s="51"/>
    </row>
    <row r="413" spans="2:8" ht="15.75" customHeight="1" x14ac:dyDescent="0.25">
      <c r="B413" s="51"/>
      <c r="C413" s="51"/>
      <c r="D413" s="51"/>
      <c r="E413" s="51"/>
      <c r="F413" s="51"/>
      <c r="G413" s="51"/>
      <c r="H413" s="51"/>
    </row>
    <row r="414" spans="2:8" ht="15.75" customHeight="1" x14ac:dyDescent="0.25">
      <c r="B414" s="51"/>
      <c r="C414" s="51"/>
      <c r="D414" s="51"/>
      <c r="E414" s="51"/>
      <c r="F414" s="51"/>
      <c r="G414" s="51"/>
      <c r="H414" s="51"/>
    </row>
    <row r="415" spans="2:8" ht="15.75" customHeight="1" x14ac:dyDescent="0.25">
      <c r="B415" s="51"/>
      <c r="C415" s="51"/>
      <c r="D415" s="51"/>
      <c r="E415" s="51"/>
      <c r="F415" s="51"/>
      <c r="G415" s="51"/>
      <c r="H415" s="51"/>
    </row>
    <row r="416" spans="2:8" ht="15.75" customHeight="1" x14ac:dyDescent="0.25">
      <c r="B416" s="51"/>
      <c r="C416" s="51"/>
      <c r="D416" s="51"/>
      <c r="E416" s="51"/>
      <c r="F416" s="51"/>
      <c r="G416" s="51"/>
      <c r="H416" s="51"/>
    </row>
    <row r="417" spans="2:8" ht="15.75" customHeight="1" x14ac:dyDescent="0.25">
      <c r="B417" s="51"/>
      <c r="C417" s="51"/>
      <c r="D417" s="51"/>
      <c r="E417" s="51"/>
      <c r="F417" s="51"/>
      <c r="G417" s="51"/>
      <c r="H417" s="51"/>
    </row>
    <row r="418" spans="2:8" ht="15.75" customHeight="1" x14ac:dyDescent="0.25">
      <c r="B418" s="51"/>
      <c r="C418" s="51"/>
      <c r="D418" s="51"/>
      <c r="E418" s="51"/>
      <c r="F418" s="51"/>
      <c r="G418" s="51"/>
      <c r="H418" s="51"/>
    </row>
    <row r="419" spans="2:8" ht="15.75" customHeight="1" x14ac:dyDescent="0.25">
      <c r="B419" s="51"/>
      <c r="C419" s="51"/>
      <c r="D419" s="51"/>
      <c r="E419" s="51"/>
      <c r="F419" s="51"/>
      <c r="G419" s="51"/>
      <c r="H419" s="51"/>
    </row>
    <row r="420" spans="2:8" ht="15.75" customHeight="1" x14ac:dyDescent="0.25">
      <c r="B420" s="51"/>
      <c r="C420" s="51"/>
      <c r="D420" s="51"/>
      <c r="E420" s="51"/>
      <c r="F420" s="51"/>
      <c r="G420" s="51"/>
      <c r="H420" s="51"/>
    </row>
    <row r="421" spans="2:8" ht="15.75" customHeight="1" x14ac:dyDescent="0.25">
      <c r="B421" s="51"/>
      <c r="C421" s="51"/>
      <c r="D421" s="51"/>
      <c r="E421" s="51"/>
      <c r="F421" s="51"/>
      <c r="G421" s="51"/>
      <c r="H421" s="51"/>
    </row>
    <row r="422" spans="2:8" ht="15.75" customHeight="1" x14ac:dyDescent="0.25">
      <c r="B422" s="51"/>
      <c r="C422" s="51"/>
      <c r="D422" s="51"/>
      <c r="E422" s="51"/>
      <c r="F422" s="51"/>
      <c r="G422" s="51"/>
      <c r="H422" s="51"/>
    </row>
    <row r="423" spans="2:8" ht="15.75" customHeight="1" x14ac:dyDescent="0.25">
      <c r="B423" s="51"/>
      <c r="C423" s="51"/>
      <c r="D423" s="51"/>
      <c r="E423" s="51"/>
      <c r="F423" s="51"/>
      <c r="G423" s="51"/>
      <c r="H423" s="51"/>
    </row>
    <row r="424" spans="2:8" ht="15.75" customHeight="1" x14ac:dyDescent="0.25">
      <c r="B424" s="51"/>
      <c r="C424" s="51"/>
      <c r="D424" s="51"/>
      <c r="E424" s="51"/>
      <c r="F424" s="51"/>
      <c r="G424" s="51"/>
      <c r="H424" s="51"/>
    </row>
    <row r="425" spans="2:8" ht="15.75" customHeight="1" x14ac:dyDescent="0.25">
      <c r="B425" s="51"/>
      <c r="C425" s="51"/>
      <c r="D425" s="51"/>
      <c r="E425" s="51"/>
      <c r="F425" s="51"/>
      <c r="G425" s="51"/>
      <c r="H425" s="51"/>
    </row>
    <row r="426" spans="2:8" ht="15.75" customHeight="1" x14ac:dyDescent="0.25">
      <c r="B426" s="51"/>
      <c r="C426" s="51"/>
      <c r="D426" s="51"/>
      <c r="E426" s="51"/>
      <c r="F426" s="51"/>
      <c r="G426" s="51"/>
      <c r="H426" s="51"/>
    </row>
    <row r="427" spans="2:8" ht="15.75" customHeight="1" x14ac:dyDescent="0.25">
      <c r="B427" s="51"/>
      <c r="C427" s="51"/>
      <c r="D427" s="51"/>
      <c r="E427" s="51"/>
      <c r="F427" s="51"/>
      <c r="G427" s="51"/>
      <c r="H427" s="51"/>
    </row>
    <row r="428" spans="2:8" ht="15.75" customHeight="1" x14ac:dyDescent="0.25">
      <c r="B428" s="51"/>
      <c r="C428" s="51"/>
      <c r="D428" s="51"/>
      <c r="E428" s="51"/>
      <c r="F428" s="51"/>
      <c r="G428" s="51"/>
      <c r="H428" s="51"/>
    </row>
    <row r="429" spans="2:8" ht="15.75" customHeight="1" x14ac:dyDescent="0.25">
      <c r="B429" s="51"/>
      <c r="C429" s="51"/>
      <c r="D429" s="51"/>
      <c r="E429" s="51"/>
      <c r="F429" s="51"/>
      <c r="G429" s="51"/>
      <c r="H429" s="51"/>
    </row>
    <row r="430" spans="2:8" ht="15.75" customHeight="1" x14ac:dyDescent="0.25">
      <c r="B430" s="51"/>
      <c r="C430" s="51"/>
      <c r="D430" s="51"/>
      <c r="E430" s="51"/>
      <c r="F430" s="51"/>
      <c r="G430" s="51"/>
      <c r="H430" s="51"/>
    </row>
    <row r="431" spans="2:8" ht="15.75" customHeight="1" x14ac:dyDescent="0.25">
      <c r="B431" s="51"/>
      <c r="C431" s="51"/>
      <c r="D431" s="51"/>
      <c r="E431" s="51"/>
      <c r="F431" s="51"/>
      <c r="G431" s="51"/>
      <c r="H431" s="51"/>
    </row>
    <row r="432" spans="2:8" ht="15.75" customHeight="1" x14ac:dyDescent="0.25">
      <c r="B432" s="51"/>
      <c r="C432" s="51"/>
      <c r="D432" s="51"/>
      <c r="E432" s="51"/>
      <c r="F432" s="51"/>
      <c r="G432" s="51"/>
      <c r="H432" s="51"/>
    </row>
    <row r="433" spans="2:8" ht="15.75" customHeight="1" x14ac:dyDescent="0.25">
      <c r="B433" s="51"/>
      <c r="C433" s="51"/>
      <c r="D433" s="51"/>
      <c r="E433" s="51"/>
      <c r="F433" s="51"/>
      <c r="G433" s="51"/>
      <c r="H433" s="51"/>
    </row>
    <row r="434" spans="2:8" ht="15.75" customHeight="1" x14ac:dyDescent="0.25">
      <c r="B434" s="51"/>
      <c r="C434" s="51"/>
      <c r="D434" s="51"/>
      <c r="E434" s="51"/>
      <c r="F434" s="51"/>
      <c r="G434" s="51"/>
      <c r="H434" s="51"/>
    </row>
    <row r="435" spans="2:8" ht="15.75" customHeight="1" x14ac:dyDescent="0.25">
      <c r="B435" s="51"/>
      <c r="C435" s="51"/>
      <c r="D435" s="51"/>
      <c r="E435" s="51"/>
      <c r="F435" s="51"/>
      <c r="G435" s="51"/>
      <c r="H435" s="51"/>
    </row>
    <row r="436" spans="2:8" ht="15.75" customHeight="1" x14ac:dyDescent="0.25">
      <c r="B436" s="51"/>
      <c r="C436" s="51"/>
      <c r="D436" s="51"/>
      <c r="E436" s="51"/>
      <c r="F436" s="51"/>
      <c r="G436" s="51"/>
      <c r="H436" s="51"/>
    </row>
    <row r="437" spans="2:8" ht="15.75" customHeight="1" x14ac:dyDescent="0.25">
      <c r="B437" s="51"/>
      <c r="C437" s="51"/>
      <c r="D437" s="51"/>
      <c r="E437" s="51"/>
      <c r="F437" s="51"/>
      <c r="G437" s="51"/>
      <c r="H437" s="51"/>
    </row>
    <row r="438" spans="2:8" ht="15.75" customHeight="1" x14ac:dyDescent="0.25">
      <c r="B438" s="51"/>
      <c r="C438" s="51"/>
      <c r="D438" s="51"/>
      <c r="E438" s="51"/>
      <c r="F438" s="51"/>
      <c r="G438" s="51"/>
      <c r="H438" s="51"/>
    </row>
    <row r="439" spans="2:8" ht="15.75" customHeight="1" x14ac:dyDescent="0.25">
      <c r="B439" s="51"/>
      <c r="C439" s="51"/>
      <c r="D439" s="51"/>
      <c r="E439" s="51"/>
      <c r="F439" s="51"/>
      <c r="G439" s="51"/>
      <c r="H439" s="51"/>
    </row>
    <row r="440" spans="2:8" ht="15.75" customHeight="1" x14ac:dyDescent="0.25">
      <c r="B440" s="51"/>
      <c r="C440" s="51"/>
      <c r="D440" s="51"/>
      <c r="E440" s="51"/>
      <c r="F440" s="51"/>
      <c r="G440" s="51"/>
      <c r="H440" s="51"/>
    </row>
    <row r="441" spans="2:8" ht="15.75" customHeight="1" x14ac:dyDescent="0.25">
      <c r="B441" s="51"/>
      <c r="C441" s="51"/>
      <c r="D441" s="51"/>
      <c r="E441" s="51"/>
      <c r="F441" s="51"/>
      <c r="G441" s="51"/>
      <c r="H441" s="51"/>
    </row>
    <row r="442" spans="2:8" ht="15.75" customHeight="1" x14ac:dyDescent="0.25">
      <c r="B442" s="51"/>
      <c r="C442" s="51"/>
      <c r="D442" s="51"/>
      <c r="E442" s="51"/>
      <c r="F442" s="51"/>
      <c r="G442" s="51"/>
      <c r="H442" s="51"/>
    </row>
    <row r="443" spans="2:8" ht="15.75" customHeight="1" x14ac:dyDescent="0.25">
      <c r="B443" s="51"/>
      <c r="C443" s="51"/>
      <c r="D443" s="51"/>
      <c r="E443" s="51"/>
      <c r="F443" s="51"/>
      <c r="G443" s="51"/>
      <c r="H443" s="51"/>
    </row>
    <row r="444" spans="2:8" ht="15.75" customHeight="1" x14ac:dyDescent="0.25">
      <c r="B444" s="51"/>
      <c r="C444" s="51"/>
      <c r="D444" s="51"/>
      <c r="E444" s="51"/>
      <c r="F444" s="51"/>
      <c r="G444" s="51"/>
      <c r="H444" s="51"/>
    </row>
    <row r="445" spans="2:8" ht="15.75" customHeight="1" x14ac:dyDescent="0.25">
      <c r="B445" s="51"/>
      <c r="C445" s="51"/>
      <c r="D445" s="51"/>
      <c r="E445" s="51"/>
      <c r="F445" s="51"/>
      <c r="G445" s="51"/>
      <c r="H445" s="51"/>
    </row>
    <row r="446" spans="2:8" ht="15.75" customHeight="1" x14ac:dyDescent="0.25">
      <c r="B446" s="51"/>
      <c r="C446" s="51"/>
      <c r="D446" s="51"/>
      <c r="E446" s="51"/>
      <c r="F446" s="51"/>
      <c r="G446" s="51"/>
      <c r="H446" s="51"/>
    </row>
    <row r="447" spans="2:8" ht="15.75" customHeight="1" x14ac:dyDescent="0.25">
      <c r="B447" s="51"/>
      <c r="C447" s="51"/>
      <c r="D447" s="51"/>
      <c r="E447" s="51"/>
      <c r="F447" s="51"/>
      <c r="G447" s="51"/>
      <c r="H447" s="51"/>
    </row>
    <row r="448" spans="2:8" ht="15.75" customHeight="1" x14ac:dyDescent="0.25">
      <c r="B448" s="51"/>
      <c r="C448" s="51"/>
      <c r="D448" s="51"/>
      <c r="E448" s="51"/>
      <c r="F448" s="51"/>
      <c r="G448" s="51"/>
      <c r="H448" s="51"/>
    </row>
    <row r="449" spans="2:8" ht="15.75" customHeight="1" x14ac:dyDescent="0.25">
      <c r="B449" s="51"/>
      <c r="C449" s="51"/>
      <c r="D449" s="51"/>
      <c r="E449" s="51"/>
      <c r="F449" s="51"/>
      <c r="G449" s="51"/>
      <c r="H449" s="51"/>
    </row>
    <row r="450" spans="2:8" ht="15.75" customHeight="1" x14ac:dyDescent="0.25">
      <c r="B450" s="51"/>
      <c r="C450" s="51"/>
      <c r="D450" s="51"/>
      <c r="E450" s="51"/>
      <c r="F450" s="51"/>
      <c r="G450" s="51"/>
      <c r="H450" s="51"/>
    </row>
    <row r="451" spans="2:8" ht="15.75" customHeight="1" x14ac:dyDescent="0.25">
      <c r="B451" s="51"/>
      <c r="C451" s="51"/>
      <c r="D451" s="51"/>
      <c r="E451" s="51"/>
      <c r="F451" s="51"/>
      <c r="G451" s="51"/>
      <c r="H451" s="51"/>
    </row>
    <row r="452" spans="2:8" ht="15.75" customHeight="1" x14ac:dyDescent="0.25">
      <c r="B452" s="51"/>
      <c r="C452" s="51"/>
      <c r="D452" s="51"/>
      <c r="E452" s="51"/>
      <c r="F452" s="51"/>
      <c r="G452" s="51"/>
      <c r="H452" s="51"/>
    </row>
    <row r="453" spans="2:8" ht="15.75" customHeight="1" x14ac:dyDescent="0.25">
      <c r="B453" s="51"/>
      <c r="C453" s="51"/>
      <c r="D453" s="51"/>
      <c r="E453" s="51"/>
      <c r="F453" s="51"/>
      <c r="G453" s="51"/>
      <c r="H453" s="51"/>
    </row>
    <row r="454" spans="2:8" ht="15.75" customHeight="1" x14ac:dyDescent="0.25">
      <c r="B454" s="51"/>
      <c r="C454" s="51"/>
      <c r="D454" s="51"/>
      <c r="E454" s="51"/>
      <c r="F454" s="51"/>
      <c r="G454" s="51"/>
      <c r="H454" s="51"/>
    </row>
    <row r="455" spans="2:8" ht="15.75" customHeight="1" x14ac:dyDescent="0.25">
      <c r="B455" s="51"/>
      <c r="C455" s="51"/>
      <c r="D455" s="51"/>
      <c r="E455" s="51"/>
      <c r="F455" s="51"/>
      <c r="G455" s="51"/>
      <c r="H455" s="51"/>
    </row>
    <row r="456" spans="2:8" ht="15.75" customHeight="1" x14ac:dyDescent="0.25">
      <c r="B456" s="51"/>
      <c r="C456" s="51"/>
      <c r="D456" s="51"/>
      <c r="E456" s="51"/>
      <c r="F456" s="51"/>
      <c r="G456" s="51"/>
      <c r="H456" s="51"/>
    </row>
    <row r="457" spans="2:8" ht="15.75" customHeight="1" x14ac:dyDescent="0.25">
      <c r="B457" s="51"/>
      <c r="C457" s="51"/>
      <c r="D457" s="51"/>
      <c r="E457" s="51"/>
      <c r="F457" s="51"/>
      <c r="G457" s="51"/>
      <c r="H457" s="51"/>
    </row>
    <row r="458" spans="2:8" ht="15.75" customHeight="1" x14ac:dyDescent="0.25">
      <c r="B458" s="51"/>
      <c r="C458" s="51"/>
      <c r="D458" s="51"/>
      <c r="E458" s="51"/>
      <c r="F458" s="51"/>
      <c r="G458" s="51"/>
      <c r="H458" s="51"/>
    </row>
    <row r="459" spans="2:8" ht="15.75" customHeight="1" x14ac:dyDescent="0.25">
      <c r="B459" s="51"/>
      <c r="C459" s="51"/>
      <c r="D459" s="51"/>
      <c r="E459" s="51"/>
      <c r="F459" s="51"/>
      <c r="G459" s="51"/>
      <c r="H459" s="51"/>
    </row>
    <row r="460" spans="2:8" ht="15.75" customHeight="1" x14ac:dyDescent="0.25">
      <c r="B460" s="51"/>
      <c r="C460" s="51"/>
      <c r="D460" s="51"/>
      <c r="E460" s="51"/>
      <c r="F460" s="51"/>
      <c r="G460" s="51"/>
      <c r="H460" s="51"/>
    </row>
    <row r="461" spans="2:8" ht="15.75" customHeight="1" x14ac:dyDescent="0.25">
      <c r="B461" s="51"/>
      <c r="C461" s="51"/>
      <c r="D461" s="51"/>
      <c r="E461" s="51"/>
      <c r="F461" s="51"/>
      <c r="G461" s="51"/>
      <c r="H461" s="51"/>
    </row>
    <row r="462" spans="2:8" ht="15.75" customHeight="1" x14ac:dyDescent="0.25">
      <c r="B462" s="51"/>
      <c r="C462" s="51"/>
      <c r="D462" s="51"/>
      <c r="E462" s="51"/>
      <c r="F462" s="51"/>
      <c r="G462" s="51"/>
      <c r="H462" s="51"/>
    </row>
    <row r="463" spans="2:8" ht="15.75" customHeight="1" x14ac:dyDescent="0.25">
      <c r="B463" s="51"/>
      <c r="C463" s="51"/>
      <c r="D463" s="51"/>
      <c r="E463" s="51"/>
      <c r="F463" s="51"/>
      <c r="G463" s="51"/>
      <c r="H463" s="51"/>
    </row>
    <row r="464" spans="2:8" ht="15.75" customHeight="1" x14ac:dyDescent="0.25">
      <c r="B464" s="51"/>
      <c r="C464" s="51"/>
      <c r="D464" s="51"/>
      <c r="E464" s="51"/>
      <c r="F464" s="51"/>
      <c r="G464" s="51"/>
      <c r="H464" s="51"/>
    </row>
    <row r="465" spans="2:8" ht="15.75" customHeight="1" x14ac:dyDescent="0.25">
      <c r="B465" s="51"/>
      <c r="C465" s="51"/>
      <c r="D465" s="51"/>
      <c r="E465" s="51"/>
      <c r="F465" s="51"/>
      <c r="G465" s="51"/>
      <c r="H465" s="51"/>
    </row>
    <row r="466" spans="2:8" ht="15.75" customHeight="1" x14ac:dyDescent="0.25">
      <c r="B466" s="51"/>
      <c r="C466" s="51"/>
      <c r="D466" s="51"/>
      <c r="E466" s="51"/>
      <c r="F466" s="51"/>
      <c r="G466" s="51"/>
      <c r="H466" s="51"/>
    </row>
    <row r="467" spans="2:8" ht="15.75" customHeight="1" x14ac:dyDescent="0.25">
      <c r="B467" s="51"/>
      <c r="C467" s="51"/>
      <c r="D467" s="51"/>
      <c r="E467" s="51"/>
      <c r="F467" s="51"/>
      <c r="G467" s="51"/>
      <c r="H467" s="51"/>
    </row>
    <row r="468" spans="2:8" ht="15.75" customHeight="1" x14ac:dyDescent="0.25">
      <c r="B468" s="51"/>
      <c r="C468" s="51"/>
      <c r="D468" s="51"/>
      <c r="E468" s="51"/>
      <c r="F468" s="51"/>
      <c r="G468" s="51"/>
      <c r="H468" s="51"/>
    </row>
    <row r="469" spans="2:8" ht="15.75" customHeight="1" x14ac:dyDescent="0.25">
      <c r="B469" s="51"/>
      <c r="C469" s="51"/>
      <c r="D469" s="51"/>
      <c r="E469" s="51"/>
      <c r="F469" s="51"/>
      <c r="G469" s="51"/>
      <c r="H469" s="51"/>
    </row>
    <row r="470" spans="2:8" ht="15.75" customHeight="1" x14ac:dyDescent="0.25">
      <c r="B470" s="51"/>
      <c r="C470" s="51"/>
      <c r="D470" s="51"/>
      <c r="E470" s="51"/>
      <c r="F470" s="51"/>
      <c r="G470" s="51"/>
      <c r="H470" s="51"/>
    </row>
    <row r="471" spans="2:8" ht="15.75" customHeight="1" x14ac:dyDescent="0.25">
      <c r="B471" s="51"/>
      <c r="C471" s="51"/>
      <c r="D471" s="51"/>
      <c r="E471" s="51"/>
      <c r="F471" s="51"/>
      <c r="G471" s="51"/>
      <c r="H471" s="51"/>
    </row>
    <row r="472" spans="2:8" ht="15.75" customHeight="1" x14ac:dyDescent="0.25">
      <c r="B472" s="51"/>
      <c r="C472" s="51"/>
      <c r="D472" s="51"/>
      <c r="E472" s="51"/>
      <c r="F472" s="51"/>
      <c r="G472" s="51"/>
      <c r="H472" s="51"/>
    </row>
    <row r="473" spans="2:8" ht="15.75" customHeight="1" x14ac:dyDescent="0.25">
      <c r="B473" s="51"/>
      <c r="C473" s="51"/>
      <c r="D473" s="51"/>
      <c r="E473" s="51"/>
      <c r="F473" s="51"/>
      <c r="G473" s="51"/>
      <c r="H473" s="51"/>
    </row>
    <row r="474" spans="2:8" ht="15.75" customHeight="1" x14ac:dyDescent="0.25">
      <c r="B474" s="51"/>
      <c r="C474" s="51"/>
      <c r="D474" s="51"/>
      <c r="E474" s="51"/>
      <c r="F474" s="51"/>
      <c r="G474" s="51"/>
      <c r="H474" s="51"/>
    </row>
    <row r="475" spans="2:8" ht="15.75" customHeight="1" x14ac:dyDescent="0.25">
      <c r="B475" s="51"/>
      <c r="C475" s="51"/>
      <c r="D475" s="51"/>
      <c r="E475" s="51"/>
      <c r="F475" s="51"/>
      <c r="G475" s="51"/>
      <c r="H475" s="51"/>
    </row>
    <row r="476" spans="2:8" ht="15.75" customHeight="1" x14ac:dyDescent="0.25">
      <c r="B476" s="51"/>
      <c r="C476" s="51"/>
      <c r="D476" s="51"/>
      <c r="E476" s="51"/>
      <c r="F476" s="51"/>
      <c r="G476" s="51"/>
      <c r="H476" s="51"/>
    </row>
    <row r="477" spans="2:8" ht="15.75" customHeight="1" x14ac:dyDescent="0.25">
      <c r="B477" s="51"/>
      <c r="C477" s="51"/>
      <c r="D477" s="51"/>
      <c r="E477" s="51"/>
      <c r="F477" s="51"/>
      <c r="G477" s="51"/>
      <c r="H477" s="51"/>
    </row>
    <row r="478" spans="2:8" ht="15.75" customHeight="1" x14ac:dyDescent="0.25">
      <c r="B478" s="51"/>
      <c r="C478" s="51"/>
      <c r="D478" s="51"/>
      <c r="E478" s="51"/>
      <c r="F478" s="51"/>
      <c r="G478" s="51"/>
      <c r="H478" s="51"/>
    </row>
    <row r="479" spans="2:8" ht="15.75" customHeight="1" x14ac:dyDescent="0.25">
      <c r="B479" s="51"/>
      <c r="C479" s="51"/>
      <c r="D479" s="51"/>
      <c r="E479" s="51"/>
      <c r="F479" s="51"/>
      <c r="G479" s="51"/>
      <c r="H479" s="51"/>
    </row>
    <row r="480" spans="2:8" ht="15.75" customHeight="1" x14ac:dyDescent="0.25">
      <c r="B480" s="51"/>
      <c r="C480" s="51"/>
      <c r="D480" s="51"/>
      <c r="E480" s="51"/>
      <c r="F480" s="51"/>
      <c r="G480" s="51"/>
      <c r="H480" s="51"/>
    </row>
    <row r="481" spans="2:8" ht="15.75" customHeight="1" x14ac:dyDescent="0.25">
      <c r="B481" s="51"/>
      <c r="C481" s="51"/>
      <c r="D481" s="51"/>
      <c r="E481" s="51"/>
      <c r="F481" s="51"/>
      <c r="G481" s="51"/>
      <c r="H481" s="51"/>
    </row>
    <row r="482" spans="2:8" ht="15.75" customHeight="1" x14ac:dyDescent="0.25">
      <c r="B482" s="51"/>
      <c r="C482" s="51"/>
      <c r="D482" s="51"/>
      <c r="E482" s="51"/>
      <c r="F482" s="51"/>
      <c r="G482" s="51"/>
      <c r="H482" s="51"/>
    </row>
    <row r="483" spans="2:8" ht="15.75" customHeight="1" x14ac:dyDescent="0.25">
      <c r="B483" s="51"/>
      <c r="C483" s="51"/>
      <c r="D483" s="51"/>
      <c r="E483" s="51"/>
      <c r="F483" s="51"/>
      <c r="G483" s="51"/>
      <c r="H483" s="51"/>
    </row>
    <row r="484" spans="2:8" ht="15.75" customHeight="1" x14ac:dyDescent="0.25">
      <c r="B484" s="51"/>
      <c r="C484" s="51"/>
      <c r="D484" s="51"/>
      <c r="E484" s="51"/>
      <c r="F484" s="51"/>
      <c r="G484" s="51"/>
      <c r="H484" s="51"/>
    </row>
    <row r="485" spans="2:8" ht="15.75" customHeight="1" x14ac:dyDescent="0.25">
      <c r="B485" s="51"/>
      <c r="C485" s="51"/>
      <c r="D485" s="51"/>
      <c r="E485" s="51"/>
      <c r="F485" s="51"/>
      <c r="G485" s="51"/>
      <c r="H485" s="51"/>
    </row>
    <row r="486" spans="2:8" ht="15.75" customHeight="1" x14ac:dyDescent="0.25">
      <c r="B486" s="51"/>
      <c r="C486" s="51"/>
      <c r="D486" s="51"/>
      <c r="E486" s="51"/>
      <c r="F486" s="51"/>
      <c r="G486" s="51"/>
      <c r="H486" s="51"/>
    </row>
    <row r="487" spans="2:8" ht="15.75" customHeight="1" x14ac:dyDescent="0.25">
      <c r="B487" s="51"/>
      <c r="C487" s="51"/>
      <c r="D487" s="51"/>
      <c r="E487" s="51"/>
      <c r="F487" s="51"/>
      <c r="G487" s="51"/>
      <c r="H487" s="51"/>
    </row>
    <row r="488" spans="2:8" ht="15.75" customHeight="1" x14ac:dyDescent="0.25">
      <c r="B488" s="51"/>
      <c r="C488" s="51"/>
      <c r="D488" s="51"/>
      <c r="E488" s="51"/>
      <c r="F488" s="51"/>
      <c r="G488" s="51"/>
      <c r="H488" s="51"/>
    </row>
    <row r="489" spans="2:8" ht="15.75" customHeight="1" x14ac:dyDescent="0.25">
      <c r="B489" s="51"/>
      <c r="C489" s="51"/>
      <c r="D489" s="51"/>
      <c r="E489" s="51"/>
      <c r="F489" s="51"/>
      <c r="G489" s="51"/>
      <c r="H489" s="51"/>
    </row>
    <row r="490" spans="2:8" ht="15.75" customHeight="1" x14ac:dyDescent="0.25">
      <c r="B490" s="51"/>
      <c r="C490" s="51"/>
      <c r="D490" s="51"/>
      <c r="E490" s="51"/>
      <c r="F490" s="51"/>
      <c r="G490" s="51"/>
      <c r="H490" s="51"/>
    </row>
    <row r="491" spans="2:8" ht="15.75" customHeight="1" x14ac:dyDescent="0.25">
      <c r="B491" s="51"/>
      <c r="C491" s="51"/>
      <c r="D491" s="51"/>
      <c r="E491" s="51"/>
      <c r="F491" s="51"/>
      <c r="G491" s="51"/>
      <c r="H491" s="51"/>
    </row>
    <row r="492" spans="2:8" ht="15.75" customHeight="1" x14ac:dyDescent="0.25">
      <c r="B492" s="51"/>
      <c r="C492" s="51"/>
      <c r="D492" s="51"/>
      <c r="E492" s="51"/>
      <c r="F492" s="51"/>
      <c r="G492" s="51"/>
      <c r="H492" s="51"/>
    </row>
    <row r="493" spans="2:8" ht="15.75" customHeight="1" x14ac:dyDescent="0.25">
      <c r="B493" s="51"/>
      <c r="C493" s="51"/>
      <c r="D493" s="51"/>
      <c r="E493" s="51"/>
      <c r="F493" s="51"/>
      <c r="G493" s="51"/>
      <c r="H493" s="51"/>
    </row>
    <row r="494" spans="2:8" ht="15.75" customHeight="1" x14ac:dyDescent="0.25">
      <c r="B494" s="51"/>
      <c r="C494" s="51"/>
      <c r="D494" s="51"/>
      <c r="E494" s="51"/>
      <c r="F494" s="51"/>
      <c r="G494" s="51"/>
      <c r="H494" s="51"/>
    </row>
    <row r="495" spans="2:8" ht="15.75" customHeight="1" x14ac:dyDescent="0.25">
      <c r="B495" s="51"/>
      <c r="C495" s="51"/>
      <c r="D495" s="51"/>
      <c r="E495" s="51"/>
      <c r="F495" s="51"/>
      <c r="G495" s="51"/>
      <c r="H495" s="51"/>
    </row>
    <row r="496" spans="2:8" ht="15.75" customHeight="1" x14ac:dyDescent="0.25">
      <c r="B496" s="51"/>
      <c r="C496" s="51"/>
      <c r="D496" s="51"/>
      <c r="E496" s="51"/>
      <c r="F496" s="51"/>
      <c r="G496" s="51"/>
      <c r="H496" s="51"/>
    </row>
    <row r="497" spans="2:8" ht="15.75" customHeight="1" x14ac:dyDescent="0.25">
      <c r="B497" s="51"/>
      <c r="C497" s="51"/>
      <c r="D497" s="51"/>
      <c r="E497" s="51"/>
      <c r="F497" s="51"/>
      <c r="G497" s="51"/>
      <c r="H497" s="51"/>
    </row>
    <row r="498" spans="2:8" ht="15.75" customHeight="1" x14ac:dyDescent="0.25">
      <c r="B498" s="51"/>
      <c r="C498" s="51"/>
      <c r="D498" s="51"/>
      <c r="E498" s="51"/>
      <c r="F498" s="51"/>
      <c r="G498" s="51"/>
      <c r="H498" s="51"/>
    </row>
    <row r="499" spans="2:8" ht="15.75" customHeight="1" x14ac:dyDescent="0.25">
      <c r="B499" s="51"/>
      <c r="C499" s="51"/>
      <c r="D499" s="51"/>
      <c r="E499" s="51"/>
      <c r="F499" s="51"/>
      <c r="G499" s="51"/>
      <c r="H499" s="51"/>
    </row>
    <row r="500" spans="2:8" ht="15.75" customHeight="1" x14ac:dyDescent="0.25">
      <c r="B500" s="51"/>
      <c r="C500" s="51"/>
      <c r="D500" s="51"/>
      <c r="E500" s="51"/>
      <c r="F500" s="51"/>
      <c r="G500" s="51"/>
      <c r="H500" s="51"/>
    </row>
    <row r="501" spans="2:8" ht="15.75" customHeight="1" x14ac:dyDescent="0.25">
      <c r="B501" s="51"/>
      <c r="C501" s="51"/>
      <c r="D501" s="51"/>
      <c r="E501" s="51"/>
      <c r="F501" s="51"/>
      <c r="G501" s="51"/>
      <c r="H501" s="51"/>
    </row>
    <row r="502" spans="2:8" ht="15.75" customHeight="1" x14ac:dyDescent="0.25">
      <c r="B502" s="51"/>
      <c r="C502" s="51"/>
      <c r="D502" s="51"/>
      <c r="E502" s="51"/>
      <c r="F502" s="51"/>
      <c r="G502" s="51"/>
      <c r="H502" s="51"/>
    </row>
    <row r="503" spans="2:8" ht="15.75" customHeight="1" x14ac:dyDescent="0.25">
      <c r="B503" s="51"/>
      <c r="C503" s="51"/>
      <c r="D503" s="51"/>
      <c r="E503" s="51"/>
      <c r="F503" s="51"/>
      <c r="G503" s="51"/>
      <c r="H503" s="51"/>
    </row>
    <row r="504" spans="2:8" ht="15.75" customHeight="1" x14ac:dyDescent="0.25">
      <c r="B504" s="51"/>
      <c r="C504" s="51"/>
      <c r="D504" s="51"/>
      <c r="E504" s="51"/>
      <c r="F504" s="51"/>
      <c r="G504" s="51"/>
      <c r="H504" s="51"/>
    </row>
    <row r="505" spans="2:8" ht="15.75" customHeight="1" x14ac:dyDescent="0.25">
      <c r="B505" s="51"/>
      <c r="C505" s="51"/>
      <c r="D505" s="51"/>
      <c r="E505" s="51"/>
      <c r="F505" s="51"/>
      <c r="G505" s="51"/>
      <c r="H505" s="51"/>
    </row>
    <row r="506" spans="2:8" ht="15.75" customHeight="1" x14ac:dyDescent="0.25">
      <c r="B506" s="51"/>
      <c r="C506" s="51"/>
      <c r="D506" s="51"/>
      <c r="E506" s="51"/>
      <c r="F506" s="51"/>
      <c r="G506" s="51"/>
      <c r="H506" s="51"/>
    </row>
    <row r="507" spans="2:8" ht="15.75" customHeight="1" x14ac:dyDescent="0.25">
      <c r="B507" s="51"/>
      <c r="C507" s="51"/>
      <c r="D507" s="51"/>
      <c r="E507" s="51"/>
      <c r="F507" s="51"/>
      <c r="G507" s="51"/>
      <c r="H507" s="51"/>
    </row>
    <row r="508" spans="2:8" ht="15.75" customHeight="1" x14ac:dyDescent="0.25">
      <c r="B508" s="51"/>
      <c r="C508" s="51"/>
      <c r="D508" s="51"/>
      <c r="E508" s="51"/>
      <c r="F508" s="51"/>
      <c r="G508" s="51"/>
      <c r="H508" s="51"/>
    </row>
    <row r="509" spans="2:8" ht="15.75" customHeight="1" x14ac:dyDescent="0.25">
      <c r="B509" s="51"/>
      <c r="C509" s="51"/>
      <c r="D509" s="51"/>
      <c r="E509" s="51"/>
      <c r="F509" s="51"/>
      <c r="G509" s="51"/>
      <c r="H509" s="51"/>
    </row>
    <row r="510" spans="2:8" ht="15.75" customHeight="1" x14ac:dyDescent="0.25">
      <c r="B510" s="51"/>
      <c r="C510" s="51"/>
      <c r="D510" s="51"/>
      <c r="E510" s="51"/>
      <c r="F510" s="51"/>
      <c r="G510" s="51"/>
      <c r="H510" s="51"/>
    </row>
    <row r="511" spans="2:8" ht="15.75" customHeight="1" x14ac:dyDescent="0.25">
      <c r="B511" s="51"/>
      <c r="C511" s="51"/>
      <c r="D511" s="51"/>
      <c r="E511" s="51"/>
      <c r="F511" s="51"/>
      <c r="G511" s="51"/>
      <c r="H511" s="51"/>
    </row>
    <row r="512" spans="2:8" ht="15.75" customHeight="1" x14ac:dyDescent="0.25">
      <c r="B512" s="51"/>
      <c r="C512" s="51"/>
      <c r="D512" s="51"/>
      <c r="E512" s="51"/>
      <c r="F512" s="51"/>
      <c r="G512" s="51"/>
      <c r="H512" s="51"/>
    </row>
    <row r="513" spans="2:8" ht="15.75" customHeight="1" x14ac:dyDescent="0.25">
      <c r="B513" s="51"/>
      <c r="C513" s="51"/>
      <c r="D513" s="51"/>
      <c r="E513" s="51"/>
      <c r="F513" s="51"/>
      <c r="G513" s="51"/>
      <c r="H513" s="51"/>
    </row>
    <row r="514" spans="2:8" ht="15.75" customHeight="1" x14ac:dyDescent="0.25">
      <c r="B514" s="51"/>
      <c r="C514" s="51"/>
      <c r="D514" s="51"/>
      <c r="E514" s="51"/>
      <c r="F514" s="51"/>
      <c r="G514" s="51"/>
      <c r="H514" s="51"/>
    </row>
    <row r="515" spans="2:8" ht="15.75" customHeight="1" x14ac:dyDescent="0.25">
      <c r="B515" s="51"/>
      <c r="C515" s="51"/>
      <c r="D515" s="51"/>
      <c r="E515" s="51"/>
      <c r="F515" s="51"/>
      <c r="G515" s="51"/>
      <c r="H515" s="51"/>
    </row>
    <row r="516" spans="2:8" ht="15.75" customHeight="1" x14ac:dyDescent="0.25">
      <c r="B516" s="51"/>
      <c r="C516" s="51"/>
      <c r="D516" s="51"/>
      <c r="E516" s="51"/>
      <c r="F516" s="51"/>
      <c r="G516" s="51"/>
      <c r="H516" s="51"/>
    </row>
    <row r="517" spans="2:8" ht="15.75" customHeight="1" x14ac:dyDescent="0.25">
      <c r="B517" s="51"/>
      <c r="C517" s="51"/>
      <c r="D517" s="51"/>
      <c r="E517" s="51"/>
      <c r="F517" s="51"/>
      <c r="G517" s="51"/>
      <c r="H517" s="51"/>
    </row>
    <row r="518" spans="2:8" ht="15.75" customHeight="1" x14ac:dyDescent="0.25">
      <c r="B518" s="51"/>
      <c r="C518" s="51"/>
      <c r="D518" s="51"/>
      <c r="E518" s="51"/>
      <c r="F518" s="51"/>
      <c r="G518" s="51"/>
      <c r="H518" s="51"/>
    </row>
    <row r="519" spans="2:8" ht="15.75" customHeight="1" x14ac:dyDescent="0.25">
      <c r="B519" s="51"/>
      <c r="C519" s="51"/>
      <c r="D519" s="51"/>
      <c r="E519" s="51"/>
      <c r="F519" s="51"/>
      <c r="G519" s="51"/>
      <c r="H519" s="51"/>
    </row>
    <row r="520" spans="2:8" ht="15.75" customHeight="1" x14ac:dyDescent="0.25">
      <c r="B520" s="51"/>
      <c r="C520" s="51"/>
      <c r="D520" s="51"/>
      <c r="E520" s="51"/>
      <c r="F520" s="51"/>
      <c r="G520" s="51"/>
      <c r="H520" s="51"/>
    </row>
    <row r="521" spans="2:8" ht="15.75" customHeight="1" x14ac:dyDescent="0.25">
      <c r="B521" s="51"/>
      <c r="C521" s="51"/>
      <c r="D521" s="51"/>
      <c r="E521" s="51"/>
      <c r="F521" s="51"/>
      <c r="G521" s="51"/>
      <c r="H521" s="51"/>
    </row>
    <row r="522" spans="2:8" ht="15.75" customHeight="1" x14ac:dyDescent="0.25">
      <c r="B522" s="51"/>
      <c r="C522" s="51"/>
      <c r="D522" s="51"/>
      <c r="E522" s="51"/>
      <c r="F522" s="51"/>
      <c r="G522" s="51"/>
      <c r="H522" s="51"/>
    </row>
    <row r="523" spans="2:8" ht="15.75" customHeight="1" x14ac:dyDescent="0.25">
      <c r="B523" s="51"/>
      <c r="C523" s="51"/>
      <c r="D523" s="51"/>
      <c r="E523" s="51"/>
      <c r="F523" s="51"/>
      <c r="G523" s="51"/>
      <c r="H523" s="51"/>
    </row>
    <row r="524" spans="2:8" ht="15.75" customHeight="1" x14ac:dyDescent="0.25">
      <c r="B524" s="51"/>
      <c r="C524" s="51"/>
      <c r="D524" s="51"/>
      <c r="E524" s="51"/>
      <c r="F524" s="51"/>
      <c r="G524" s="51"/>
      <c r="H524" s="51"/>
    </row>
    <row r="525" spans="2:8" ht="15.75" customHeight="1" x14ac:dyDescent="0.25">
      <c r="B525" s="51"/>
      <c r="C525" s="51"/>
      <c r="D525" s="51"/>
      <c r="E525" s="51"/>
      <c r="F525" s="51"/>
      <c r="G525" s="51"/>
      <c r="H525" s="51"/>
    </row>
    <row r="526" spans="2:8" ht="15.75" customHeight="1" x14ac:dyDescent="0.25">
      <c r="B526" s="51"/>
      <c r="C526" s="51"/>
      <c r="D526" s="51"/>
      <c r="E526" s="51"/>
      <c r="F526" s="51"/>
      <c r="G526" s="51"/>
      <c r="H526" s="51"/>
    </row>
    <row r="527" spans="2:8" ht="15.75" customHeight="1" x14ac:dyDescent="0.25">
      <c r="B527" s="51"/>
      <c r="C527" s="51"/>
      <c r="D527" s="51"/>
      <c r="E527" s="51"/>
      <c r="F527" s="51"/>
      <c r="G527" s="51"/>
      <c r="H527" s="51"/>
    </row>
    <row r="528" spans="2:8" ht="15.75" customHeight="1" x14ac:dyDescent="0.25">
      <c r="B528" s="51"/>
      <c r="C528" s="51"/>
      <c r="D528" s="51"/>
      <c r="E528" s="51"/>
      <c r="F528" s="51"/>
      <c r="G528" s="51"/>
      <c r="H528" s="51"/>
    </row>
    <row r="529" spans="2:8" ht="15.75" customHeight="1" x14ac:dyDescent="0.25">
      <c r="B529" s="51"/>
      <c r="C529" s="51"/>
      <c r="D529" s="51"/>
      <c r="E529" s="51"/>
      <c r="F529" s="51"/>
      <c r="G529" s="51"/>
      <c r="H529" s="51"/>
    </row>
    <row r="530" spans="2:8" ht="15.75" customHeight="1" x14ac:dyDescent="0.25">
      <c r="B530" s="51"/>
      <c r="C530" s="51"/>
      <c r="D530" s="51"/>
      <c r="E530" s="51"/>
      <c r="F530" s="51"/>
      <c r="G530" s="51"/>
      <c r="H530" s="51"/>
    </row>
    <row r="531" spans="2:8" ht="15.75" customHeight="1" x14ac:dyDescent="0.25">
      <c r="B531" s="51"/>
      <c r="C531" s="51"/>
      <c r="D531" s="51"/>
      <c r="E531" s="51"/>
      <c r="F531" s="51"/>
      <c r="G531" s="51"/>
      <c r="H531" s="51"/>
    </row>
    <row r="532" spans="2:8" ht="15.75" customHeight="1" x14ac:dyDescent="0.25">
      <c r="B532" s="51"/>
      <c r="C532" s="51"/>
      <c r="D532" s="51"/>
      <c r="E532" s="51"/>
      <c r="F532" s="51"/>
      <c r="G532" s="51"/>
      <c r="H532" s="51"/>
    </row>
    <row r="533" spans="2:8" ht="15.75" customHeight="1" x14ac:dyDescent="0.25">
      <c r="B533" s="51"/>
      <c r="C533" s="51"/>
      <c r="D533" s="51"/>
      <c r="E533" s="51"/>
      <c r="F533" s="51"/>
      <c r="G533" s="51"/>
      <c r="H533" s="51"/>
    </row>
    <row r="534" spans="2:8" ht="15.75" customHeight="1" x14ac:dyDescent="0.25">
      <c r="B534" s="51"/>
      <c r="C534" s="51"/>
      <c r="D534" s="51"/>
      <c r="E534" s="51"/>
      <c r="F534" s="51"/>
      <c r="G534" s="51"/>
      <c r="H534" s="51"/>
    </row>
    <row r="535" spans="2:8" ht="15.75" customHeight="1" x14ac:dyDescent="0.25">
      <c r="B535" s="51"/>
      <c r="C535" s="51"/>
      <c r="D535" s="51"/>
      <c r="E535" s="51"/>
      <c r="F535" s="51"/>
      <c r="G535" s="51"/>
      <c r="H535" s="51"/>
    </row>
    <row r="536" spans="2:8" ht="15.75" customHeight="1" x14ac:dyDescent="0.25">
      <c r="B536" s="51"/>
      <c r="C536" s="51"/>
      <c r="D536" s="51"/>
      <c r="E536" s="51"/>
      <c r="F536" s="51"/>
      <c r="G536" s="51"/>
      <c r="H536" s="51"/>
    </row>
    <row r="537" spans="2:8" ht="15.75" customHeight="1" x14ac:dyDescent="0.25">
      <c r="B537" s="51"/>
      <c r="C537" s="51"/>
      <c r="D537" s="51"/>
      <c r="E537" s="51"/>
      <c r="F537" s="51"/>
      <c r="G537" s="51"/>
      <c r="H537" s="51"/>
    </row>
    <row r="538" spans="2:8" ht="15.75" customHeight="1" x14ac:dyDescent="0.25">
      <c r="B538" s="51"/>
      <c r="C538" s="51"/>
      <c r="D538" s="51"/>
      <c r="E538" s="51"/>
      <c r="F538" s="51"/>
      <c r="G538" s="51"/>
      <c r="H538" s="51"/>
    </row>
    <row r="539" spans="2:8" ht="15.75" customHeight="1" x14ac:dyDescent="0.25">
      <c r="B539" s="51"/>
      <c r="C539" s="51"/>
      <c r="D539" s="51"/>
      <c r="E539" s="51"/>
      <c r="F539" s="51"/>
      <c r="G539" s="51"/>
      <c r="H539" s="51"/>
    </row>
    <row r="540" spans="2:8" ht="15.75" customHeight="1" x14ac:dyDescent="0.25">
      <c r="B540" s="51"/>
      <c r="C540" s="51"/>
      <c r="D540" s="51"/>
      <c r="E540" s="51"/>
      <c r="F540" s="51"/>
      <c r="G540" s="51"/>
      <c r="H540" s="51"/>
    </row>
    <row r="541" spans="2:8" ht="15.75" customHeight="1" x14ac:dyDescent="0.25">
      <c r="B541" s="51"/>
      <c r="C541" s="51"/>
      <c r="D541" s="51"/>
      <c r="E541" s="51"/>
      <c r="F541" s="51"/>
      <c r="G541" s="51"/>
      <c r="H541" s="51"/>
    </row>
    <row r="542" spans="2:8" ht="15.75" customHeight="1" x14ac:dyDescent="0.25">
      <c r="B542" s="51"/>
      <c r="C542" s="51"/>
      <c r="D542" s="51"/>
      <c r="E542" s="51"/>
      <c r="F542" s="51"/>
      <c r="G542" s="51"/>
      <c r="H542" s="51"/>
    </row>
    <row r="543" spans="2:8" ht="15.75" customHeight="1" x14ac:dyDescent="0.25">
      <c r="B543" s="51"/>
      <c r="C543" s="51"/>
      <c r="D543" s="51"/>
      <c r="E543" s="51"/>
      <c r="F543" s="51"/>
      <c r="G543" s="51"/>
      <c r="H543" s="51"/>
    </row>
    <row r="544" spans="2:8" ht="15.75" customHeight="1" x14ac:dyDescent="0.25">
      <c r="B544" s="51"/>
      <c r="C544" s="51"/>
      <c r="D544" s="51"/>
      <c r="E544" s="51"/>
      <c r="F544" s="51"/>
      <c r="G544" s="51"/>
      <c r="H544" s="51"/>
    </row>
    <row r="545" spans="2:8" ht="15.75" customHeight="1" x14ac:dyDescent="0.25">
      <c r="B545" s="51"/>
      <c r="C545" s="51"/>
      <c r="D545" s="51"/>
      <c r="E545" s="51"/>
      <c r="F545" s="51"/>
      <c r="G545" s="51"/>
      <c r="H545" s="51"/>
    </row>
    <row r="546" spans="2:8" ht="15.75" customHeight="1" x14ac:dyDescent="0.25">
      <c r="B546" s="51"/>
      <c r="C546" s="51"/>
      <c r="D546" s="51"/>
      <c r="E546" s="51"/>
      <c r="F546" s="51"/>
      <c r="G546" s="51"/>
      <c r="H546" s="51"/>
    </row>
    <row r="547" spans="2:8" ht="15.75" customHeight="1" x14ac:dyDescent="0.25">
      <c r="B547" s="51"/>
      <c r="C547" s="51"/>
      <c r="D547" s="51"/>
      <c r="E547" s="51"/>
      <c r="F547" s="51"/>
      <c r="G547" s="51"/>
      <c r="H547" s="51"/>
    </row>
    <row r="548" spans="2:8" ht="15.75" customHeight="1" x14ac:dyDescent="0.25">
      <c r="B548" s="51"/>
      <c r="C548" s="51"/>
      <c r="D548" s="51"/>
      <c r="E548" s="51"/>
      <c r="F548" s="51"/>
      <c r="G548" s="51"/>
      <c r="H548" s="51"/>
    </row>
    <row r="549" spans="2:8" ht="15.75" customHeight="1" x14ac:dyDescent="0.25">
      <c r="B549" s="51"/>
      <c r="C549" s="51"/>
      <c r="D549" s="51"/>
      <c r="E549" s="51"/>
      <c r="F549" s="51"/>
      <c r="G549" s="51"/>
      <c r="H549" s="51"/>
    </row>
    <row r="550" spans="2:8" ht="15.75" customHeight="1" x14ac:dyDescent="0.25">
      <c r="B550" s="51"/>
      <c r="C550" s="51"/>
      <c r="D550" s="51"/>
      <c r="E550" s="51"/>
      <c r="F550" s="51"/>
      <c r="G550" s="51"/>
      <c r="H550" s="51"/>
    </row>
    <row r="551" spans="2:8" ht="15.75" customHeight="1" x14ac:dyDescent="0.25">
      <c r="B551" s="51"/>
      <c r="C551" s="51"/>
      <c r="D551" s="51"/>
      <c r="E551" s="51"/>
      <c r="F551" s="51"/>
      <c r="G551" s="51"/>
      <c r="H551" s="51"/>
    </row>
    <row r="552" spans="2:8" ht="15.75" customHeight="1" x14ac:dyDescent="0.25">
      <c r="B552" s="51"/>
      <c r="C552" s="51"/>
      <c r="D552" s="51"/>
      <c r="E552" s="51"/>
      <c r="F552" s="51"/>
      <c r="G552" s="51"/>
      <c r="H552" s="51"/>
    </row>
    <row r="553" spans="2:8" ht="15.75" customHeight="1" x14ac:dyDescent="0.25">
      <c r="B553" s="51"/>
      <c r="C553" s="51"/>
      <c r="D553" s="51"/>
      <c r="E553" s="51"/>
      <c r="F553" s="51"/>
      <c r="G553" s="51"/>
      <c r="H553" s="51"/>
    </row>
    <row r="554" spans="2:8" ht="15.75" customHeight="1" x14ac:dyDescent="0.25">
      <c r="B554" s="51"/>
      <c r="C554" s="51"/>
      <c r="D554" s="51"/>
      <c r="E554" s="51"/>
      <c r="F554" s="51"/>
      <c r="G554" s="51"/>
      <c r="H554" s="51"/>
    </row>
    <row r="555" spans="2:8" ht="15.75" customHeight="1" x14ac:dyDescent="0.25">
      <c r="B555" s="51"/>
      <c r="C555" s="51"/>
      <c r="D555" s="51"/>
      <c r="E555" s="51"/>
      <c r="F555" s="51"/>
      <c r="G555" s="51"/>
      <c r="H555" s="51"/>
    </row>
    <row r="556" spans="2:8" ht="15.75" customHeight="1" x14ac:dyDescent="0.25">
      <c r="B556" s="51"/>
      <c r="C556" s="51"/>
      <c r="D556" s="51"/>
      <c r="E556" s="51"/>
      <c r="F556" s="51"/>
      <c r="G556" s="51"/>
      <c r="H556" s="51"/>
    </row>
    <row r="557" spans="2:8" ht="15.75" customHeight="1" x14ac:dyDescent="0.25">
      <c r="B557" s="51"/>
      <c r="C557" s="51"/>
      <c r="D557" s="51"/>
      <c r="E557" s="51"/>
      <c r="F557" s="51"/>
      <c r="G557" s="51"/>
      <c r="H557" s="51"/>
    </row>
    <row r="558" spans="2:8" ht="15.75" customHeight="1" x14ac:dyDescent="0.25">
      <c r="B558" s="51"/>
      <c r="C558" s="51"/>
      <c r="D558" s="51"/>
      <c r="E558" s="51"/>
      <c r="F558" s="51"/>
      <c r="G558" s="51"/>
      <c r="H558" s="51"/>
    </row>
    <row r="559" spans="2:8" ht="15.75" customHeight="1" x14ac:dyDescent="0.25">
      <c r="B559" s="51"/>
      <c r="C559" s="51"/>
      <c r="D559" s="51"/>
      <c r="E559" s="51"/>
      <c r="F559" s="51"/>
      <c r="G559" s="51"/>
      <c r="H559" s="51"/>
    </row>
    <row r="560" spans="2:8" ht="15.75" customHeight="1" x14ac:dyDescent="0.25">
      <c r="B560" s="51"/>
      <c r="C560" s="51"/>
      <c r="D560" s="51"/>
      <c r="E560" s="51"/>
      <c r="F560" s="51"/>
      <c r="G560" s="51"/>
      <c r="H560" s="51"/>
    </row>
    <row r="561" spans="2:8" ht="15.75" customHeight="1" x14ac:dyDescent="0.25">
      <c r="B561" s="51"/>
      <c r="C561" s="51"/>
      <c r="D561" s="51"/>
      <c r="E561" s="51"/>
      <c r="F561" s="51"/>
      <c r="G561" s="51"/>
      <c r="H561" s="51"/>
    </row>
    <row r="562" spans="2:8" ht="15.75" customHeight="1" x14ac:dyDescent="0.25">
      <c r="B562" s="51"/>
      <c r="C562" s="51"/>
      <c r="D562" s="51"/>
      <c r="E562" s="51"/>
      <c r="F562" s="51"/>
      <c r="G562" s="51"/>
      <c r="H562" s="51"/>
    </row>
    <row r="563" spans="2:8" ht="15.75" customHeight="1" x14ac:dyDescent="0.25">
      <c r="B563" s="51"/>
      <c r="C563" s="51"/>
      <c r="D563" s="51"/>
      <c r="E563" s="51"/>
      <c r="F563" s="51"/>
      <c r="G563" s="51"/>
      <c r="H563" s="51"/>
    </row>
    <row r="564" spans="2:8" ht="15.75" customHeight="1" x14ac:dyDescent="0.25">
      <c r="B564" s="51"/>
      <c r="C564" s="51"/>
      <c r="D564" s="51"/>
      <c r="E564" s="51"/>
      <c r="F564" s="51"/>
      <c r="G564" s="51"/>
      <c r="H564" s="51"/>
    </row>
    <row r="565" spans="2:8" ht="15.75" customHeight="1" x14ac:dyDescent="0.25">
      <c r="B565" s="51"/>
      <c r="C565" s="51"/>
      <c r="D565" s="51"/>
      <c r="E565" s="51"/>
      <c r="F565" s="51"/>
      <c r="G565" s="51"/>
      <c r="H565" s="51"/>
    </row>
    <row r="566" spans="2:8" ht="15.75" customHeight="1" x14ac:dyDescent="0.25">
      <c r="B566" s="51"/>
      <c r="C566" s="51"/>
      <c r="D566" s="51"/>
      <c r="E566" s="51"/>
      <c r="F566" s="51"/>
      <c r="G566" s="51"/>
      <c r="H566" s="51"/>
    </row>
    <row r="567" spans="2:8" ht="15.75" customHeight="1" x14ac:dyDescent="0.25">
      <c r="B567" s="51"/>
      <c r="C567" s="51"/>
      <c r="D567" s="51"/>
      <c r="E567" s="51"/>
      <c r="F567" s="51"/>
      <c r="G567" s="51"/>
      <c r="H567" s="51"/>
    </row>
    <row r="568" spans="2:8" ht="15.75" customHeight="1" x14ac:dyDescent="0.25">
      <c r="B568" s="51"/>
      <c r="C568" s="51"/>
      <c r="D568" s="51"/>
      <c r="E568" s="51"/>
      <c r="F568" s="51"/>
      <c r="G568" s="51"/>
      <c r="H568" s="51"/>
    </row>
    <row r="569" spans="2:8" ht="15.75" customHeight="1" x14ac:dyDescent="0.25">
      <c r="B569" s="51"/>
      <c r="C569" s="51"/>
      <c r="D569" s="51"/>
      <c r="E569" s="51"/>
      <c r="F569" s="51"/>
      <c r="G569" s="51"/>
      <c r="H569" s="51"/>
    </row>
    <row r="570" spans="2:8" ht="15.75" customHeight="1" x14ac:dyDescent="0.25">
      <c r="B570" s="51"/>
      <c r="C570" s="51"/>
      <c r="D570" s="51"/>
      <c r="E570" s="51"/>
      <c r="F570" s="51"/>
      <c r="G570" s="51"/>
      <c r="H570" s="51"/>
    </row>
    <row r="571" spans="2:8" ht="15.75" customHeight="1" x14ac:dyDescent="0.25">
      <c r="B571" s="51"/>
      <c r="C571" s="51"/>
      <c r="D571" s="51"/>
      <c r="E571" s="51"/>
      <c r="F571" s="51"/>
      <c r="G571" s="51"/>
      <c r="H571" s="51"/>
    </row>
    <row r="572" spans="2:8" ht="15.75" customHeight="1" x14ac:dyDescent="0.25">
      <c r="B572" s="51"/>
      <c r="C572" s="51"/>
      <c r="D572" s="51"/>
      <c r="E572" s="51"/>
      <c r="F572" s="51"/>
      <c r="G572" s="51"/>
      <c r="H572" s="51"/>
    </row>
    <row r="573" spans="2:8" ht="15.75" customHeight="1" x14ac:dyDescent="0.25">
      <c r="B573" s="51"/>
      <c r="C573" s="51"/>
      <c r="D573" s="51"/>
      <c r="E573" s="51"/>
      <c r="F573" s="51"/>
      <c r="G573" s="51"/>
      <c r="H573" s="51"/>
    </row>
    <row r="574" spans="2:8" ht="15.75" customHeight="1" x14ac:dyDescent="0.25">
      <c r="B574" s="51"/>
      <c r="C574" s="51"/>
      <c r="D574" s="51"/>
      <c r="E574" s="51"/>
      <c r="F574" s="51"/>
      <c r="G574" s="51"/>
      <c r="H574" s="51"/>
    </row>
    <row r="575" spans="2:8" ht="15.75" customHeight="1" x14ac:dyDescent="0.25">
      <c r="B575" s="51"/>
      <c r="C575" s="51"/>
      <c r="D575" s="51"/>
      <c r="E575" s="51"/>
      <c r="F575" s="51"/>
      <c r="G575" s="51"/>
      <c r="H575" s="51"/>
    </row>
    <row r="576" spans="2:8" ht="15.75" customHeight="1" x14ac:dyDescent="0.25">
      <c r="B576" s="51"/>
      <c r="C576" s="51"/>
      <c r="D576" s="51"/>
      <c r="E576" s="51"/>
      <c r="F576" s="51"/>
      <c r="G576" s="51"/>
      <c r="H576" s="51"/>
    </row>
    <row r="577" spans="2:8" ht="15.75" customHeight="1" x14ac:dyDescent="0.25">
      <c r="B577" s="51"/>
      <c r="C577" s="51"/>
      <c r="D577" s="51"/>
      <c r="E577" s="51"/>
      <c r="F577" s="51"/>
      <c r="G577" s="51"/>
      <c r="H577" s="51"/>
    </row>
    <row r="578" spans="2:8" ht="15.75" customHeight="1" x14ac:dyDescent="0.25">
      <c r="B578" s="51"/>
      <c r="C578" s="51"/>
      <c r="D578" s="51"/>
      <c r="E578" s="51"/>
      <c r="F578" s="51"/>
      <c r="G578" s="51"/>
      <c r="H578" s="51"/>
    </row>
    <row r="579" spans="2:8" ht="15.75" customHeight="1" x14ac:dyDescent="0.25">
      <c r="B579" s="51"/>
      <c r="C579" s="51"/>
      <c r="D579" s="51"/>
      <c r="E579" s="51"/>
      <c r="F579" s="51"/>
      <c r="G579" s="51"/>
      <c r="H579" s="51"/>
    </row>
    <row r="580" spans="2:8" ht="15.75" customHeight="1" x14ac:dyDescent="0.25">
      <c r="B580" s="51"/>
      <c r="C580" s="51"/>
      <c r="D580" s="51"/>
      <c r="E580" s="51"/>
      <c r="F580" s="51"/>
      <c r="G580" s="51"/>
      <c r="H580" s="51"/>
    </row>
    <row r="581" spans="2:8" ht="15.75" customHeight="1" x14ac:dyDescent="0.25">
      <c r="B581" s="51"/>
      <c r="C581" s="51"/>
      <c r="D581" s="51"/>
      <c r="E581" s="51"/>
      <c r="F581" s="51"/>
      <c r="G581" s="51"/>
      <c r="H581" s="51"/>
    </row>
    <row r="582" spans="2:8" ht="15.75" customHeight="1" x14ac:dyDescent="0.25">
      <c r="B582" s="51"/>
      <c r="C582" s="51"/>
      <c r="D582" s="51"/>
      <c r="E582" s="51"/>
      <c r="F582" s="51"/>
      <c r="G582" s="51"/>
      <c r="H582" s="51"/>
    </row>
    <row r="583" spans="2:8" ht="15.75" customHeight="1" x14ac:dyDescent="0.25">
      <c r="B583" s="51"/>
      <c r="C583" s="51"/>
      <c r="D583" s="51"/>
      <c r="E583" s="51"/>
      <c r="F583" s="51"/>
      <c r="G583" s="51"/>
      <c r="H583" s="51"/>
    </row>
    <row r="584" spans="2:8" ht="15.75" customHeight="1" x14ac:dyDescent="0.25">
      <c r="B584" s="51"/>
      <c r="C584" s="51"/>
      <c r="D584" s="51"/>
      <c r="E584" s="51"/>
      <c r="F584" s="51"/>
      <c r="G584" s="51"/>
      <c r="H584" s="51"/>
    </row>
    <row r="585" spans="2:8" ht="15.75" customHeight="1" x14ac:dyDescent="0.25">
      <c r="B585" s="51"/>
      <c r="C585" s="51"/>
      <c r="D585" s="51"/>
      <c r="E585" s="51"/>
      <c r="F585" s="51"/>
      <c r="G585" s="51"/>
      <c r="H585" s="51"/>
    </row>
    <row r="586" spans="2:8" ht="15.75" customHeight="1" x14ac:dyDescent="0.25">
      <c r="B586" s="51"/>
      <c r="C586" s="51"/>
      <c r="D586" s="51"/>
      <c r="E586" s="51"/>
      <c r="F586" s="51"/>
      <c r="G586" s="51"/>
      <c r="H586" s="51"/>
    </row>
    <row r="587" spans="2:8" ht="15.75" customHeight="1" x14ac:dyDescent="0.25">
      <c r="B587" s="51"/>
      <c r="C587" s="51"/>
      <c r="D587" s="51"/>
      <c r="E587" s="51"/>
      <c r="F587" s="51"/>
      <c r="G587" s="51"/>
      <c r="H587" s="51"/>
    </row>
    <row r="588" spans="2:8" ht="15.75" customHeight="1" x14ac:dyDescent="0.25">
      <c r="B588" s="51"/>
      <c r="C588" s="51"/>
      <c r="D588" s="51"/>
      <c r="E588" s="51"/>
      <c r="F588" s="51"/>
      <c r="G588" s="51"/>
      <c r="H588" s="51"/>
    </row>
    <row r="589" spans="2:8" ht="15.75" customHeight="1" x14ac:dyDescent="0.25">
      <c r="B589" s="51"/>
      <c r="C589" s="51"/>
      <c r="D589" s="51"/>
      <c r="E589" s="51"/>
      <c r="F589" s="51"/>
      <c r="G589" s="51"/>
      <c r="H589" s="51"/>
    </row>
    <row r="590" spans="2:8" ht="15.75" customHeight="1" x14ac:dyDescent="0.25">
      <c r="B590" s="51"/>
      <c r="C590" s="51"/>
      <c r="D590" s="51"/>
      <c r="E590" s="51"/>
      <c r="F590" s="51"/>
      <c r="G590" s="51"/>
      <c r="H590" s="51"/>
    </row>
    <row r="591" spans="2:8" ht="15.75" customHeight="1" x14ac:dyDescent="0.25">
      <c r="B591" s="51"/>
      <c r="C591" s="51"/>
      <c r="D591" s="51"/>
      <c r="E591" s="51"/>
      <c r="F591" s="51"/>
      <c r="G591" s="51"/>
      <c r="H591" s="51"/>
    </row>
    <row r="592" spans="2:8" ht="15.75" customHeight="1" x14ac:dyDescent="0.25">
      <c r="B592" s="51"/>
      <c r="C592" s="51"/>
      <c r="D592" s="51"/>
      <c r="E592" s="51"/>
      <c r="F592" s="51"/>
      <c r="G592" s="51"/>
      <c r="H592" s="51"/>
    </row>
    <row r="593" spans="2:8" ht="15.75" customHeight="1" x14ac:dyDescent="0.25">
      <c r="B593" s="51"/>
      <c r="C593" s="51"/>
      <c r="D593" s="51"/>
      <c r="E593" s="51"/>
      <c r="F593" s="51"/>
      <c r="G593" s="51"/>
      <c r="H593" s="51"/>
    </row>
    <row r="594" spans="2:8" ht="15.75" customHeight="1" x14ac:dyDescent="0.25">
      <c r="B594" s="51"/>
      <c r="C594" s="51"/>
      <c r="D594" s="51"/>
      <c r="E594" s="51"/>
      <c r="F594" s="51"/>
      <c r="G594" s="51"/>
      <c r="H594" s="51"/>
    </row>
    <row r="595" spans="2:8" ht="15.75" customHeight="1" x14ac:dyDescent="0.25">
      <c r="B595" s="51"/>
      <c r="C595" s="51"/>
      <c r="D595" s="51"/>
      <c r="E595" s="51"/>
      <c r="F595" s="51"/>
      <c r="G595" s="51"/>
      <c r="H595" s="51"/>
    </row>
    <row r="596" spans="2:8" ht="15.75" customHeight="1" x14ac:dyDescent="0.25">
      <c r="B596" s="51"/>
      <c r="C596" s="51"/>
      <c r="D596" s="51"/>
      <c r="E596" s="51"/>
      <c r="F596" s="51"/>
      <c r="G596" s="51"/>
      <c r="H596" s="51"/>
    </row>
    <row r="597" spans="2:8" ht="15.75" customHeight="1" x14ac:dyDescent="0.25">
      <c r="B597" s="51"/>
      <c r="C597" s="51"/>
      <c r="D597" s="51"/>
      <c r="E597" s="51"/>
      <c r="F597" s="51"/>
      <c r="G597" s="51"/>
      <c r="H597" s="51"/>
    </row>
    <row r="598" spans="2:8" ht="15.75" customHeight="1" x14ac:dyDescent="0.25">
      <c r="B598" s="51"/>
      <c r="C598" s="51"/>
      <c r="D598" s="51"/>
      <c r="E598" s="51"/>
      <c r="F598" s="51"/>
      <c r="G598" s="51"/>
      <c r="H598" s="51"/>
    </row>
    <row r="599" spans="2:8" ht="15.75" customHeight="1" x14ac:dyDescent="0.25">
      <c r="B599" s="51"/>
      <c r="C599" s="51"/>
      <c r="D599" s="51"/>
      <c r="E599" s="51"/>
      <c r="F599" s="51"/>
      <c r="G599" s="51"/>
      <c r="H599" s="51"/>
    </row>
    <row r="600" spans="2:8" ht="15.75" customHeight="1" x14ac:dyDescent="0.25">
      <c r="B600" s="51"/>
      <c r="C600" s="51"/>
      <c r="D600" s="51"/>
      <c r="E600" s="51"/>
      <c r="F600" s="51"/>
      <c r="G600" s="51"/>
      <c r="H600" s="51"/>
    </row>
    <row r="601" spans="2:8" ht="15.75" customHeight="1" x14ac:dyDescent="0.25">
      <c r="B601" s="51"/>
      <c r="C601" s="51"/>
      <c r="D601" s="51"/>
      <c r="E601" s="51"/>
      <c r="F601" s="51"/>
      <c r="G601" s="51"/>
      <c r="H601" s="51"/>
    </row>
    <row r="602" spans="2:8" ht="15.75" customHeight="1" x14ac:dyDescent="0.25">
      <c r="B602" s="51"/>
      <c r="C602" s="51"/>
      <c r="D602" s="51"/>
      <c r="E602" s="51"/>
      <c r="F602" s="51"/>
      <c r="G602" s="51"/>
      <c r="H602" s="51"/>
    </row>
    <row r="603" spans="2:8" ht="15.75" customHeight="1" x14ac:dyDescent="0.25">
      <c r="B603" s="51"/>
      <c r="C603" s="51"/>
      <c r="D603" s="51"/>
      <c r="E603" s="51"/>
      <c r="F603" s="51"/>
      <c r="G603" s="51"/>
      <c r="H603" s="51"/>
    </row>
    <row r="604" spans="2:8" ht="15.75" customHeight="1" x14ac:dyDescent="0.25">
      <c r="B604" s="51"/>
      <c r="C604" s="51"/>
      <c r="D604" s="51"/>
      <c r="E604" s="51"/>
      <c r="F604" s="51"/>
      <c r="G604" s="51"/>
      <c r="H604" s="51"/>
    </row>
    <row r="605" spans="2:8" ht="15.75" customHeight="1" x14ac:dyDescent="0.25">
      <c r="B605" s="51"/>
      <c r="C605" s="51"/>
      <c r="D605" s="51"/>
      <c r="E605" s="51"/>
      <c r="F605" s="51"/>
      <c r="G605" s="51"/>
      <c r="H605" s="51"/>
    </row>
    <row r="606" spans="2:8" ht="15.75" customHeight="1" x14ac:dyDescent="0.25">
      <c r="B606" s="51"/>
      <c r="C606" s="51"/>
      <c r="D606" s="51"/>
      <c r="E606" s="51"/>
      <c r="F606" s="51"/>
      <c r="G606" s="51"/>
      <c r="H606" s="51"/>
    </row>
    <row r="607" spans="2:8" ht="15.75" customHeight="1" x14ac:dyDescent="0.25">
      <c r="B607" s="51"/>
      <c r="C607" s="51"/>
      <c r="D607" s="51"/>
      <c r="E607" s="51"/>
      <c r="F607" s="51"/>
      <c r="G607" s="51"/>
      <c r="H607" s="51"/>
    </row>
    <row r="608" spans="2:8" ht="15.75" customHeight="1" x14ac:dyDescent="0.25">
      <c r="B608" s="51"/>
      <c r="C608" s="51"/>
      <c r="D608" s="51"/>
      <c r="E608" s="51"/>
      <c r="F608" s="51"/>
      <c r="G608" s="51"/>
      <c r="H608" s="51"/>
    </row>
    <row r="609" spans="2:8" ht="15.75" customHeight="1" x14ac:dyDescent="0.25">
      <c r="B609" s="51"/>
      <c r="C609" s="51"/>
      <c r="D609" s="51"/>
      <c r="E609" s="51"/>
      <c r="F609" s="51"/>
      <c r="G609" s="51"/>
      <c r="H609" s="51"/>
    </row>
    <row r="610" spans="2:8" ht="15.75" customHeight="1" x14ac:dyDescent="0.25">
      <c r="B610" s="51"/>
      <c r="C610" s="51"/>
      <c r="D610" s="51"/>
      <c r="E610" s="51"/>
      <c r="F610" s="51"/>
      <c r="G610" s="51"/>
      <c r="H610" s="51"/>
    </row>
    <row r="611" spans="2:8" ht="15.75" customHeight="1" x14ac:dyDescent="0.25">
      <c r="B611" s="51"/>
      <c r="C611" s="51"/>
      <c r="D611" s="51"/>
      <c r="E611" s="51"/>
      <c r="F611" s="51"/>
      <c r="G611" s="51"/>
      <c r="H611" s="51"/>
    </row>
    <row r="612" spans="2:8" ht="15.75" customHeight="1" x14ac:dyDescent="0.25">
      <c r="B612" s="51"/>
      <c r="C612" s="51"/>
      <c r="D612" s="51"/>
      <c r="E612" s="51"/>
      <c r="F612" s="51"/>
      <c r="G612" s="51"/>
      <c r="H612" s="51"/>
    </row>
    <row r="613" spans="2:8" ht="15.75" customHeight="1" x14ac:dyDescent="0.25">
      <c r="B613" s="51"/>
      <c r="C613" s="51"/>
      <c r="D613" s="51"/>
      <c r="E613" s="51"/>
      <c r="F613" s="51"/>
      <c r="G613" s="51"/>
      <c r="H613" s="51"/>
    </row>
    <row r="614" spans="2:8" ht="15.75" customHeight="1" x14ac:dyDescent="0.25">
      <c r="B614" s="51"/>
      <c r="C614" s="51"/>
      <c r="D614" s="51"/>
      <c r="E614" s="51"/>
      <c r="F614" s="51"/>
      <c r="G614" s="51"/>
      <c r="H614" s="51"/>
    </row>
    <row r="615" spans="2:8" ht="15.75" customHeight="1" x14ac:dyDescent="0.25">
      <c r="B615" s="51"/>
      <c r="C615" s="51"/>
      <c r="D615" s="51"/>
      <c r="E615" s="51"/>
      <c r="F615" s="51"/>
      <c r="G615" s="51"/>
      <c r="H615" s="51"/>
    </row>
    <row r="616" spans="2:8" ht="15.75" customHeight="1" x14ac:dyDescent="0.25">
      <c r="B616" s="51"/>
      <c r="C616" s="51"/>
      <c r="D616" s="51"/>
      <c r="E616" s="51"/>
      <c r="F616" s="51"/>
      <c r="G616" s="51"/>
      <c r="H616" s="51"/>
    </row>
    <row r="617" spans="2:8" ht="15.75" customHeight="1" x14ac:dyDescent="0.25">
      <c r="B617" s="51"/>
      <c r="C617" s="51"/>
      <c r="D617" s="51"/>
      <c r="E617" s="51"/>
      <c r="F617" s="51"/>
      <c r="G617" s="51"/>
      <c r="H617" s="51"/>
    </row>
    <row r="618" spans="2:8" ht="15.75" customHeight="1" x14ac:dyDescent="0.25">
      <c r="B618" s="51"/>
      <c r="C618" s="51"/>
      <c r="D618" s="51"/>
      <c r="E618" s="51"/>
      <c r="F618" s="51"/>
      <c r="G618" s="51"/>
      <c r="H618" s="51"/>
    </row>
    <row r="619" spans="2:8" ht="15.75" customHeight="1" x14ac:dyDescent="0.25">
      <c r="B619" s="51"/>
      <c r="C619" s="51"/>
      <c r="D619" s="51"/>
      <c r="E619" s="51"/>
      <c r="F619" s="51"/>
      <c r="G619" s="51"/>
      <c r="H619" s="51"/>
    </row>
    <row r="620" spans="2:8" ht="15.75" customHeight="1" x14ac:dyDescent="0.25">
      <c r="B620" s="51"/>
      <c r="C620" s="51"/>
      <c r="D620" s="51"/>
      <c r="E620" s="51"/>
      <c r="F620" s="51"/>
      <c r="G620" s="51"/>
      <c r="H620" s="51"/>
    </row>
    <row r="621" spans="2:8" ht="15.75" customHeight="1" x14ac:dyDescent="0.25">
      <c r="B621" s="51"/>
      <c r="C621" s="51"/>
      <c r="D621" s="51"/>
      <c r="E621" s="51"/>
      <c r="F621" s="51"/>
      <c r="G621" s="51"/>
      <c r="H621" s="51"/>
    </row>
    <row r="622" spans="2:8" ht="15.75" customHeight="1" x14ac:dyDescent="0.25">
      <c r="B622" s="51"/>
      <c r="C622" s="51"/>
      <c r="D622" s="51"/>
      <c r="E622" s="51"/>
      <c r="F622" s="51"/>
      <c r="G622" s="51"/>
      <c r="H622" s="51"/>
    </row>
    <row r="623" spans="2:8" ht="15.75" customHeight="1" x14ac:dyDescent="0.25">
      <c r="B623" s="51"/>
      <c r="C623" s="51"/>
      <c r="D623" s="51"/>
      <c r="E623" s="51"/>
      <c r="F623" s="51"/>
      <c r="G623" s="51"/>
      <c r="H623" s="51"/>
    </row>
    <row r="624" spans="2:8" ht="15.75" customHeight="1" x14ac:dyDescent="0.25">
      <c r="B624" s="51"/>
      <c r="C624" s="51"/>
      <c r="D624" s="51"/>
      <c r="E624" s="51"/>
      <c r="F624" s="51"/>
      <c r="G624" s="51"/>
      <c r="H624" s="51"/>
    </row>
    <row r="625" spans="2:8" ht="15.75" customHeight="1" x14ac:dyDescent="0.25">
      <c r="B625" s="51"/>
      <c r="C625" s="51"/>
      <c r="D625" s="51"/>
      <c r="E625" s="51"/>
      <c r="F625" s="51"/>
      <c r="G625" s="51"/>
      <c r="H625" s="51"/>
    </row>
    <row r="626" spans="2:8" ht="15.75" customHeight="1" x14ac:dyDescent="0.25">
      <c r="B626" s="51"/>
      <c r="C626" s="51"/>
      <c r="D626" s="51"/>
      <c r="E626" s="51"/>
      <c r="F626" s="51"/>
      <c r="G626" s="51"/>
      <c r="H626" s="51"/>
    </row>
    <row r="627" spans="2:8" ht="15.75" customHeight="1" x14ac:dyDescent="0.25">
      <c r="B627" s="51"/>
      <c r="C627" s="51"/>
      <c r="D627" s="51"/>
      <c r="E627" s="51"/>
      <c r="F627" s="51"/>
      <c r="G627" s="51"/>
      <c r="H627" s="51"/>
    </row>
    <row r="628" spans="2:8" ht="15.75" customHeight="1" x14ac:dyDescent="0.25">
      <c r="B628" s="51"/>
      <c r="C628" s="51"/>
      <c r="D628" s="51"/>
      <c r="E628" s="51"/>
      <c r="F628" s="51"/>
      <c r="G628" s="51"/>
      <c r="H628" s="51"/>
    </row>
    <row r="629" spans="2:8" ht="15.75" customHeight="1" x14ac:dyDescent="0.25">
      <c r="B629" s="51"/>
      <c r="C629" s="51"/>
      <c r="D629" s="51"/>
      <c r="E629" s="51"/>
      <c r="F629" s="51"/>
      <c r="G629" s="51"/>
      <c r="H629" s="51"/>
    </row>
    <row r="630" spans="2:8" ht="15.75" customHeight="1" x14ac:dyDescent="0.25">
      <c r="B630" s="51"/>
      <c r="C630" s="51"/>
      <c r="D630" s="51"/>
      <c r="E630" s="51"/>
      <c r="F630" s="51"/>
      <c r="G630" s="51"/>
      <c r="H630" s="51"/>
    </row>
    <row r="631" spans="2:8" ht="15.75" customHeight="1" x14ac:dyDescent="0.25">
      <c r="B631" s="51"/>
      <c r="C631" s="51"/>
      <c r="D631" s="51"/>
      <c r="E631" s="51"/>
      <c r="F631" s="51"/>
      <c r="G631" s="51"/>
      <c r="H631" s="51"/>
    </row>
    <row r="632" spans="2:8" ht="15.75" customHeight="1" x14ac:dyDescent="0.25">
      <c r="B632" s="51"/>
      <c r="C632" s="51"/>
      <c r="D632" s="51"/>
      <c r="E632" s="51"/>
      <c r="F632" s="51"/>
      <c r="G632" s="51"/>
      <c r="H632" s="51"/>
    </row>
    <row r="633" spans="2:8" ht="15.75" customHeight="1" x14ac:dyDescent="0.25">
      <c r="B633" s="51"/>
      <c r="C633" s="51"/>
      <c r="D633" s="51"/>
      <c r="E633" s="51"/>
      <c r="F633" s="51"/>
      <c r="G633" s="51"/>
      <c r="H633" s="51"/>
    </row>
    <row r="634" spans="2:8" ht="15.75" customHeight="1" x14ac:dyDescent="0.25">
      <c r="B634" s="51"/>
      <c r="C634" s="51"/>
      <c r="D634" s="51"/>
      <c r="E634" s="51"/>
      <c r="F634" s="51"/>
      <c r="G634" s="51"/>
      <c r="H634" s="51"/>
    </row>
    <row r="635" spans="2:8" ht="15.75" customHeight="1" x14ac:dyDescent="0.25">
      <c r="B635" s="51"/>
      <c r="C635" s="51"/>
      <c r="D635" s="51"/>
      <c r="E635" s="51"/>
      <c r="F635" s="51"/>
      <c r="G635" s="51"/>
      <c r="H635" s="51"/>
    </row>
    <row r="636" spans="2:8" ht="15.75" customHeight="1" x14ac:dyDescent="0.25">
      <c r="B636" s="51"/>
      <c r="C636" s="51"/>
      <c r="D636" s="51"/>
      <c r="E636" s="51"/>
      <c r="F636" s="51"/>
      <c r="G636" s="51"/>
      <c r="H636" s="51"/>
    </row>
    <row r="637" spans="2:8" ht="15.75" customHeight="1" x14ac:dyDescent="0.25">
      <c r="B637" s="51"/>
      <c r="C637" s="51"/>
      <c r="D637" s="51"/>
      <c r="E637" s="51"/>
      <c r="F637" s="51"/>
      <c r="G637" s="51"/>
      <c r="H637" s="51"/>
    </row>
    <row r="638" spans="2:8" ht="15.75" customHeight="1" x14ac:dyDescent="0.25">
      <c r="B638" s="51"/>
      <c r="C638" s="51"/>
      <c r="D638" s="51"/>
      <c r="E638" s="51"/>
      <c r="F638" s="51"/>
      <c r="G638" s="51"/>
      <c r="H638" s="51"/>
    </row>
    <row r="639" spans="2:8" ht="15.75" customHeight="1" x14ac:dyDescent="0.25">
      <c r="B639" s="51"/>
      <c r="C639" s="51"/>
      <c r="D639" s="51"/>
      <c r="E639" s="51"/>
      <c r="F639" s="51"/>
      <c r="G639" s="51"/>
      <c r="H639" s="51"/>
    </row>
    <row r="640" spans="2:8" ht="15.75" customHeight="1" x14ac:dyDescent="0.25">
      <c r="B640" s="51"/>
      <c r="C640" s="51"/>
      <c r="D640" s="51"/>
      <c r="E640" s="51"/>
      <c r="F640" s="51"/>
      <c r="G640" s="51"/>
      <c r="H640" s="51"/>
    </row>
    <row r="641" spans="2:8" ht="15.75" customHeight="1" x14ac:dyDescent="0.25">
      <c r="B641" s="51"/>
      <c r="C641" s="51"/>
      <c r="D641" s="51"/>
      <c r="E641" s="51"/>
      <c r="F641" s="51"/>
      <c r="G641" s="51"/>
      <c r="H641" s="51"/>
    </row>
    <row r="642" spans="2:8" ht="15.75" customHeight="1" x14ac:dyDescent="0.25">
      <c r="B642" s="51"/>
      <c r="C642" s="51"/>
      <c r="D642" s="51"/>
      <c r="E642" s="51"/>
      <c r="F642" s="51"/>
      <c r="G642" s="51"/>
      <c r="H642" s="51"/>
    </row>
    <row r="643" spans="2:8" ht="15.75" customHeight="1" x14ac:dyDescent="0.25">
      <c r="B643" s="51"/>
      <c r="C643" s="51"/>
      <c r="D643" s="51"/>
      <c r="E643" s="51"/>
      <c r="F643" s="51"/>
      <c r="G643" s="51"/>
      <c r="H643" s="51"/>
    </row>
    <row r="644" spans="2:8" ht="15.75" customHeight="1" x14ac:dyDescent="0.25">
      <c r="B644" s="51"/>
      <c r="C644" s="51"/>
      <c r="D644" s="51"/>
      <c r="E644" s="51"/>
      <c r="F644" s="51"/>
      <c r="G644" s="51"/>
      <c r="H644" s="51"/>
    </row>
    <row r="645" spans="2:8" ht="15.75" customHeight="1" x14ac:dyDescent="0.25">
      <c r="B645" s="51"/>
      <c r="C645" s="51"/>
      <c r="D645" s="51"/>
      <c r="E645" s="51"/>
      <c r="F645" s="51"/>
      <c r="G645" s="51"/>
      <c r="H645" s="51"/>
    </row>
    <row r="646" spans="2:8" ht="15.75" customHeight="1" x14ac:dyDescent="0.25">
      <c r="B646" s="51"/>
      <c r="C646" s="51"/>
      <c r="D646" s="51"/>
      <c r="E646" s="51"/>
      <c r="F646" s="51"/>
      <c r="G646" s="51"/>
      <c r="H646" s="51"/>
    </row>
    <row r="647" spans="2:8" ht="15.75" customHeight="1" x14ac:dyDescent="0.25">
      <c r="B647" s="51"/>
      <c r="C647" s="51"/>
      <c r="D647" s="51"/>
      <c r="E647" s="51"/>
      <c r="F647" s="51"/>
      <c r="G647" s="51"/>
      <c r="H647" s="51"/>
    </row>
    <row r="648" spans="2:8" ht="15.75" customHeight="1" x14ac:dyDescent="0.25">
      <c r="B648" s="51"/>
      <c r="C648" s="51"/>
      <c r="D648" s="51"/>
      <c r="E648" s="51"/>
      <c r="F648" s="51"/>
      <c r="G648" s="51"/>
      <c r="H648" s="51"/>
    </row>
    <row r="649" spans="2:8" ht="15.75" customHeight="1" x14ac:dyDescent="0.25">
      <c r="B649" s="51"/>
      <c r="C649" s="51"/>
      <c r="D649" s="51"/>
      <c r="E649" s="51"/>
      <c r="F649" s="51"/>
      <c r="G649" s="51"/>
      <c r="H649" s="51"/>
    </row>
    <row r="650" spans="2:8" ht="15.75" customHeight="1" x14ac:dyDescent="0.25">
      <c r="B650" s="51"/>
      <c r="C650" s="51"/>
      <c r="D650" s="51"/>
      <c r="E650" s="51"/>
      <c r="F650" s="51"/>
      <c r="G650" s="51"/>
      <c r="H650" s="51"/>
    </row>
    <row r="651" spans="2:8" ht="15.75" customHeight="1" x14ac:dyDescent="0.25">
      <c r="B651" s="51"/>
      <c r="C651" s="51"/>
      <c r="D651" s="51"/>
      <c r="E651" s="51"/>
      <c r="F651" s="51"/>
      <c r="G651" s="51"/>
      <c r="H651" s="51"/>
    </row>
    <row r="652" spans="2:8" ht="15.75" customHeight="1" x14ac:dyDescent="0.25">
      <c r="B652" s="51"/>
      <c r="C652" s="51"/>
      <c r="D652" s="51"/>
      <c r="E652" s="51"/>
      <c r="F652" s="51"/>
      <c r="G652" s="51"/>
      <c r="H652" s="51"/>
    </row>
    <row r="653" spans="2:8" ht="15.75" customHeight="1" x14ac:dyDescent="0.25">
      <c r="B653" s="51"/>
      <c r="C653" s="51"/>
      <c r="D653" s="51"/>
      <c r="E653" s="51"/>
      <c r="F653" s="51"/>
      <c r="G653" s="51"/>
      <c r="H653" s="51"/>
    </row>
    <row r="654" spans="2:8" ht="15.75" customHeight="1" x14ac:dyDescent="0.25">
      <c r="B654" s="51"/>
      <c r="C654" s="51"/>
      <c r="D654" s="51"/>
      <c r="E654" s="51"/>
      <c r="F654" s="51"/>
      <c r="G654" s="51"/>
      <c r="H654" s="51"/>
    </row>
    <row r="655" spans="2:8" ht="15.75" customHeight="1" x14ac:dyDescent="0.25">
      <c r="B655" s="51"/>
      <c r="C655" s="51"/>
      <c r="D655" s="51"/>
      <c r="E655" s="51"/>
      <c r="F655" s="51"/>
      <c r="G655" s="51"/>
      <c r="H655" s="51"/>
    </row>
    <row r="656" spans="2:8" ht="15.75" customHeight="1" x14ac:dyDescent="0.25">
      <c r="B656" s="51"/>
      <c r="C656" s="51"/>
      <c r="D656" s="51"/>
      <c r="E656" s="51"/>
      <c r="F656" s="51"/>
      <c r="G656" s="51"/>
      <c r="H656" s="51"/>
    </row>
    <row r="657" spans="2:8" ht="15.75" customHeight="1" x14ac:dyDescent="0.25">
      <c r="B657" s="51"/>
      <c r="C657" s="51"/>
      <c r="D657" s="51"/>
      <c r="E657" s="51"/>
      <c r="F657" s="51"/>
      <c r="G657" s="51"/>
      <c r="H657" s="51"/>
    </row>
    <row r="658" spans="2:8" ht="15.75" customHeight="1" x14ac:dyDescent="0.25">
      <c r="B658" s="51"/>
      <c r="C658" s="51"/>
      <c r="D658" s="51"/>
      <c r="E658" s="51"/>
      <c r="F658" s="51"/>
      <c r="G658" s="51"/>
      <c r="H658" s="51"/>
    </row>
    <row r="659" spans="2:8" ht="15.75" customHeight="1" x14ac:dyDescent="0.25">
      <c r="B659" s="51"/>
      <c r="C659" s="51"/>
      <c r="D659" s="51"/>
      <c r="E659" s="51"/>
      <c r="F659" s="51"/>
      <c r="G659" s="51"/>
      <c r="H659" s="51"/>
    </row>
    <row r="660" spans="2:8" ht="15.75" customHeight="1" x14ac:dyDescent="0.25">
      <c r="B660" s="51"/>
      <c r="C660" s="51"/>
      <c r="D660" s="51"/>
      <c r="E660" s="51"/>
      <c r="F660" s="51"/>
      <c r="G660" s="51"/>
      <c r="H660" s="51"/>
    </row>
    <row r="661" spans="2:8" ht="15.75" customHeight="1" x14ac:dyDescent="0.25">
      <c r="B661" s="51"/>
      <c r="C661" s="51"/>
      <c r="D661" s="51"/>
      <c r="E661" s="51"/>
      <c r="F661" s="51"/>
      <c r="G661" s="51"/>
      <c r="H661" s="51"/>
    </row>
    <row r="662" spans="2:8" ht="15.75" customHeight="1" x14ac:dyDescent="0.25">
      <c r="B662" s="51"/>
      <c r="C662" s="51"/>
      <c r="D662" s="51"/>
      <c r="E662" s="51"/>
      <c r="F662" s="51"/>
      <c r="G662" s="51"/>
      <c r="H662" s="51"/>
    </row>
    <row r="663" spans="2:8" ht="15.75" customHeight="1" x14ac:dyDescent="0.25">
      <c r="B663" s="51"/>
      <c r="C663" s="51"/>
      <c r="D663" s="51"/>
      <c r="E663" s="51"/>
      <c r="F663" s="51"/>
      <c r="G663" s="51"/>
      <c r="H663" s="51"/>
    </row>
    <row r="664" spans="2:8" ht="15.75" customHeight="1" x14ac:dyDescent="0.25">
      <c r="B664" s="51"/>
      <c r="C664" s="51"/>
      <c r="D664" s="51"/>
      <c r="E664" s="51"/>
      <c r="F664" s="51"/>
      <c r="G664" s="51"/>
      <c r="H664" s="51"/>
    </row>
    <row r="665" spans="2:8" ht="15.75" customHeight="1" x14ac:dyDescent="0.25">
      <c r="B665" s="51"/>
      <c r="C665" s="51"/>
      <c r="D665" s="51"/>
      <c r="E665" s="51"/>
      <c r="F665" s="51"/>
      <c r="G665" s="51"/>
      <c r="H665" s="51"/>
    </row>
    <row r="666" spans="2:8" ht="15.75" customHeight="1" x14ac:dyDescent="0.25">
      <c r="B666" s="51"/>
      <c r="C666" s="51"/>
      <c r="D666" s="51"/>
      <c r="E666" s="51"/>
      <c r="F666" s="51"/>
      <c r="G666" s="51"/>
      <c r="H666" s="51"/>
    </row>
    <row r="667" spans="2:8" ht="15.75" customHeight="1" x14ac:dyDescent="0.25">
      <c r="B667" s="51"/>
      <c r="C667" s="51"/>
      <c r="D667" s="51"/>
      <c r="E667" s="51"/>
      <c r="F667" s="51"/>
      <c r="G667" s="51"/>
      <c r="H667" s="51"/>
    </row>
    <row r="668" spans="2:8" ht="15.75" customHeight="1" x14ac:dyDescent="0.25">
      <c r="B668" s="51"/>
      <c r="C668" s="51"/>
      <c r="D668" s="51"/>
      <c r="E668" s="51"/>
      <c r="F668" s="51"/>
      <c r="G668" s="51"/>
      <c r="H668" s="51"/>
    </row>
    <row r="669" spans="2:8" ht="15.75" customHeight="1" x14ac:dyDescent="0.25">
      <c r="B669" s="51"/>
      <c r="C669" s="51"/>
      <c r="D669" s="51"/>
      <c r="E669" s="51"/>
      <c r="F669" s="51"/>
      <c r="G669" s="51"/>
      <c r="H669" s="51"/>
    </row>
    <row r="670" spans="2:8" ht="15.75" customHeight="1" x14ac:dyDescent="0.25">
      <c r="B670" s="51"/>
      <c r="C670" s="51"/>
      <c r="D670" s="51"/>
      <c r="E670" s="51"/>
      <c r="F670" s="51"/>
      <c r="G670" s="51"/>
      <c r="H670" s="51"/>
    </row>
    <row r="671" spans="2:8" ht="15.75" customHeight="1" x14ac:dyDescent="0.25">
      <c r="B671" s="51"/>
      <c r="C671" s="51"/>
      <c r="D671" s="51"/>
      <c r="E671" s="51"/>
      <c r="F671" s="51"/>
      <c r="G671" s="51"/>
      <c r="H671" s="51"/>
    </row>
    <row r="672" spans="2:8" ht="15.75" customHeight="1" x14ac:dyDescent="0.25">
      <c r="B672" s="51"/>
      <c r="C672" s="51"/>
      <c r="D672" s="51"/>
      <c r="E672" s="51"/>
      <c r="F672" s="51"/>
      <c r="G672" s="51"/>
      <c r="H672" s="51"/>
    </row>
    <row r="673" spans="2:8" ht="15.75" customHeight="1" x14ac:dyDescent="0.25">
      <c r="B673" s="51"/>
      <c r="C673" s="51"/>
      <c r="D673" s="51"/>
      <c r="E673" s="51"/>
      <c r="F673" s="51"/>
      <c r="G673" s="51"/>
      <c r="H673" s="51"/>
    </row>
    <row r="674" spans="2:8" ht="15.75" customHeight="1" x14ac:dyDescent="0.25">
      <c r="B674" s="51"/>
      <c r="C674" s="51"/>
      <c r="D674" s="51"/>
      <c r="E674" s="51"/>
      <c r="F674" s="51"/>
      <c r="G674" s="51"/>
      <c r="H674" s="51"/>
    </row>
    <row r="675" spans="2:8" ht="15.75" customHeight="1" x14ac:dyDescent="0.25">
      <c r="B675" s="51"/>
      <c r="C675" s="51"/>
      <c r="D675" s="51"/>
      <c r="E675" s="51"/>
      <c r="F675" s="51"/>
      <c r="G675" s="51"/>
      <c r="H675" s="51"/>
    </row>
    <row r="676" spans="2:8" ht="15.75" customHeight="1" x14ac:dyDescent="0.25">
      <c r="B676" s="51"/>
      <c r="C676" s="51"/>
      <c r="D676" s="51"/>
      <c r="E676" s="51"/>
      <c r="F676" s="51"/>
      <c r="G676" s="51"/>
      <c r="H676" s="51"/>
    </row>
    <row r="677" spans="2:8" ht="15.75" customHeight="1" x14ac:dyDescent="0.25">
      <c r="B677" s="51"/>
      <c r="C677" s="51"/>
      <c r="D677" s="51"/>
      <c r="E677" s="51"/>
      <c r="F677" s="51"/>
      <c r="G677" s="51"/>
      <c r="H677" s="51"/>
    </row>
    <row r="678" spans="2:8" ht="15.75" customHeight="1" x14ac:dyDescent="0.25">
      <c r="B678" s="51"/>
      <c r="C678" s="51"/>
      <c r="D678" s="51"/>
      <c r="E678" s="51"/>
      <c r="F678" s="51"/>
      <c r="G678" s="51"/>
      <c r="H678" s="51"/>
    </row>
    <row r="679" spans="2:8" ht="15.75" customHeight="1" x14ac:dyDescent="0.25">
      <c r="B679" s="51"/>
      <c r="C679" s="51"/>
      <c r="D679" s="51"/>
      <c r="E679" s="51"/>
      <c r="F679" s="51"/>
      <c r="G679" s="51"/>
      <c r="H679" s="51"/>
    </row>
    <row r="680" spans="2:8" ht="15.75" customHeight="1" x14ac:dyDescent="0.25">
      <c r="B680" s="51"/>
      <c r="C680" s="51"/>
      <c r="D680" s="51"/>
      <c r="E680" s="51"/>
      <c r="F680" s="51"/>
      <c r="G680" s="51"/>
      <c r="H680" s="51"/>
    </row>
    <row r="681" spans="2:8" ht="15.75" customHeight="1" x14ac:dyDescent="0.25">
      <c r="B681" s="51"/>
      <c r="C681" s="51"/>
      <c r="D681" s="51"/>
      <c r="E681" s="51"/>
      <c r="F681" s="51"/>
      <c r="G681" s="51"/>
      <c r="H681" s="51"/>
    </row>
    <row r="682" spans="2:8" ht="15.75" customHeight="1" x14ac:dyDescent="0.25">
      <c r="B682" s="51"/>
      <c r="C682" s="51"/>
      <c r="D682" s="51"/>
      <c r="E682" s="51"/>
      <c r="F682" s="51"/>
      <c r="G682" s="51"/>
      <c r="H682" s="51"/>
    </row>
    <row r="683" spans="2:8" ht="15.75" customHeight="1" x14ac:dyDescent="0.25">
      <c r="B683" s="51"/>
      <c r="C683" s="51"/>
      <c r="D683" s="51"/>
      <c r="E683" s="51"/>
      <c r="F683" s="51"/>
      <c r="G683" s="51"/>
      <c r="H683" s="51"/>
    </row>
    <row r="684" spans="2:8" ht="15.75" customHeight="1" x14ac:dyDescent="0.25">
      <c r="B684" s="51"/>
      <c r="C684" s="51"/>
      <c r="D684" s="51"/>
      <c r="E684" s="51"/>
      <c r="F684" s="51"/>
      <c r="G684" s="51"/>
      <c r="H684" s="51"/>
    </row>
    <row r="685" spans="2:8" ht="15.75" customHeight="1" x14ac:dyDescent="0.25">
      <c r="B685" s="51"/>
      <c r="C685" s="51"/>
      <c r="D685" s="51"/>
      <c r="E685" s="51"/>
      <c r="F685" s="51"/>
      <c r="G685" s="51"/>
      <c r="H685" s="51"/>
    </row>
    <row r="686" spans="2:8" ht="15.75" customHeight="1" x14ac:dyDescent="0.25">
      <c r="B686" s="51"/>
      <c r="C686" s="51"/>
      <c r="D686" s="51"/>
      <c r="E686" s="51"/>
      <c r="F686" s="51"/>
      <c r="G686" s="51"/>
      <c r="H686" s="51"/>
    </row>
    <row r="687" spans="2:8" ht="15.75" customHeight="1" x14ac:dyDescent="0.25">
      <c r="B687" s="51"/>
      <c r="C687" s="51"/>
      <c r="D687" s="51"/>
      <c r="E687" s="51"/>
      <c r="F687" s="51"/>
      <c r="G687" s="51"/>
      <c r="H687" s="51"/>
    </row>
    <row r="688" spans="2:8" ht="15.75" customHeight="1" x14ac:dyDescent="0.25">
      <c r="B688" s="51"/>
      <c r="C688" s="51"/>
      <c r="D688" s="51"/>
      <c r="E688" s="51"/>
      <c r="F688" s="51"/>
      <c r="G688" s="51"/>
      <c r="H688" s="51"/>
    </row>
    <row r="689" spans="2:8" ht="15.75" customHeight="1" x14ac:dyDescent="0.25">
      <c r="B689" s="51"/>
      <c r="C689" s="51"/>
      <c r="D689" s="51"/>
      <c r="E689" s="51"/>
      <c r="F689" s="51"/>
      <c r="G689" s="51"/>
      <c r="H689" s="51"/>
    </row>
    <row r="690" spans="2:8" ht="15.75" customHeight="1" x14ac:dyDescent="0.25">
      <c r="B690" s="51"/>
      <c r="C690" s="51"/>
      <c r="D690" s="51"/>
      <c r="E690" s="51"/>
      <c r="F690" s="51"/>
      <c r="G690" s="51"/>
      <c r="H690" s="51"/>
    </row>
    <row r="691" spans="2:8" ht="15.75" customHeight="1" x14ac:dyDescent="0.25">
      <c r="B691" s="51"/>
      <c r="C691" s="51"/>
      <c r="D691" s="51"/>
      <c r="E691" s="51"/>
      <c r="F691" s="51"/>
      <c r="G691" s="51"/>
      <c r="H691" s="51"/>
    </row>
    <row r="692" spans="2:8" ht="15.75" customHeight="1" x14ac:dyDescent="0.25">
      <c r="B692" s="51"/>
      <c r="C692" s="51"/>
      <c r="D692" s="51"/>
      <c r="E692" s="51"/>
      <c r="F692" s="51"/>
      <c r="G692" s="51"/>
      <c r="H692" s="51"/>
    </row>
    <row r="693" spans="2:8" ht="15.75" customHeight="1" x14ac:dyDescent="0.25">
      <c r="B693" s="51"/>
      <c r="C693" s="51"/>
      <c r="D693" s="51"/>
      <c r="E693" s="51"/>
      <c r="F693" s="51"/>
      <c r="G693" s="51"/>
      <c r="H693" s="51"/>
    </row>
    <row r="694" spans="2:8" ht="15.75" customHeight="1" x14ac:dyDescent="0.25">
      <c r="B694" s="51"/>
      <c r="C694" s="51"/>
      <c r="D694" s="51"/>
      <c r="E694" s="51"/>
      <c r="F694" s="51"/>
      <c r="G694" s="51"/>
      <c r="H694" s="51"/>
    </row>
    <row r="695" spans="2:8" ht="15.75" customHeight="1" x14ac:dyDescent="0.25">
      <c r="B695" s="51"/>
      <c r="C695" s="51"/>
      <c r="D695" s="51"/>
      <c r="E695" s="51"/>
      <c r="F695" s="51"/>
      <c r="G695" s="51"/>
      <c r="H695" s="51"/>
    </row>
    <row r="696" spans="2:8" ht="15.75" customHeight="1" x14ac:dyDescent="0.25">
      <c r="B696" s="51"/>
      <c r="C696" s="51"/>
      <c r="D696" s="51"/>
      <c r="E696" s="51"/>
      <c r="F696" s="51"/>
      <c r="G696" s="51"/>
      <c r="H696" s="51"/>
    </row>
    <row r="697" spans="2:8" ht="15.75" customHeight="1" x14ac:dyDescent="0.25">
      <c r="B697" s="51"/>
      <c r="C697" s="51"/>
      <c r="D697" s="51"/>
      <c r="E697" s="51"/>
      <c r="F697" s="51"/>
      <c r="G697" s="51"/>
      <c r="H697" s="51"/>
    </row>
    <row r="698" spans="2:8" ht="15.75" customHeight="1" x14ac:dyDescent="0.25">
      <c r="B698" s="51"/>
      <c r="C698" s="51"/>
      <c r="D698" s="51"/>
      <c r="E698" s="51"/>
      <c r="F698" s="51"/>
      <c r="G698" s="51"/>
      <c r="H698" s="51"/>
    </row>
    <row r="699" spans="2:8" ht="15.75" customHeight="1" x14ac:dyDescent="0.25">
      <c r="B699" s="51"/>
      <c r="C699" s="51"/>
      <c r="D699" s="51"/>
      <c r="E699" s="51"/>
      <c r="F699" s="51"/>
      <c r="G699" s="51"/>
      <c r="H699" s="51"/>
    </row>
    <row r="700" spans="2:8" ht="15.75" customHeight="1" x14ac:dyDescent="0.25">
      <c r="B700" s="51"/>
      <c r="C700" s="51"/>
      <c r="D700" s="51"/>
      <c r="E700" s="51"/>
      <c r="F700" s="51"/>
      <c r="G700" s="51"/>
      <c r="H700" s="51"/>
    </row>
    <row r="701" spans="2:8" ht="15.75" customHeight="1" x14ac:dyDescent="0.25">
      <c r="B701" s="51"/>
      <c r="C701" s="51"/>
      <c r="D701" s="51"/>
      <c r="E701" s="51"/>
      <c r="F701" s="51"/>
      <c r="G701" s="51"/>
      <c r="H701" s="51"/>
    </row>
    <row r="702" spans="2:8" ht="15.75" customHeight="1" x14ac:dyDescent="0.25">
      <c r="B702" s="51"/>
      <c r="C702" s="51"/>
      <c r="D702" s="51"/>
      <c r="E702" s="51"/>
      <c r="F702" s="51"/>
      <c r="G702" s="51"/>
      <c r="H702" s="51"/>
    </row>
    <row r="703" spans="2:8" ht="15.75" customHeight="1" x14ac:dyDescent="0.25">
      <c r="B703" s="51"/>
      <c r="C703" s="51"/>
      <c r="D703" s="51"/>
      <c r="E703" s="51"/>
      <c r="F703" s="51"/>
      <c r="G703" s="51"/>
      <c r="H703" s="51"/>
    </row>
    <row r="704" spans="2:8" ht="15.75" customHeight="1" x14ac:dyDescent="0.25">
      <c r="B704" s="51"/>
      <c r="C704" s="51"/>
      <c r="D704" s="51"/>
      <c r="E704" s="51"/>
      <c r="F704" s="51"/>
      <c r="G704" s="51"/>
      <c r="H704" s="51"/>
    </row>
    <row r="705" spans="2:8" ht="15.75" customHeight="1" x14ac:dyDescent="0.25">
      <c r="B705" s="51"/>
      <c r="C705" s="51"/>
      <c r="D705" s="51"/>
      <c r="E705" s="51"/>
      <c r="F705" s="51"/>
      <c r="G705" s="51"/>
      <c r="H705" s="51"/>
    </row>
    <row r="706" spans="2:8" ht="15.75" customHeight="1" x14ac:dyDescent="0.25">
      <c r="B706" s="51"/>
      <c r="C706" s="51"/>
      <c r="D706" s="51"/>
      <c r="E706" s="51"/>
      <c r="F706" s="51"/>
      <c r="G706" s="51"/>
      <c r="H706" s="51"/>
    </row>
    <row r="707" spans="2:8" ht="15.75" customHeight="1" x14ac:dyDescent="0.25">
      <c r="B707" s="51"/>
      <c r="C707" s="51"/>
      <c r="D707" s="51"/>
      <c r="E707" s="51"/>
      <c r="F707" s="51"/>
      <c r="G707" s="51"/>
      <c r="H707" s="51"/>
    </row>
    <row r="708" spans="2:8" ht="15.75" customHeight="1" x14ac:dyDescent="0.25">
      <c r="B708" s="51"/>
      <c r="C708" s="51"/>
      <c r="D708" s="51"/>
      <c r="E708" s="51"/>
      <c r="F708" s="51"/>
      <c r="G708" s="51"/>
      <c r="H708" s="51"/>
    </row>
    <row r="709" spans="2:8" ht="15.75" customHeight="1" x14ac:dyDescent="0.25">
      <c r="B709" s="51"/>
      <c r="C709" s="51"/>
      <c r="D709" s="51"/>
      <c r="E709" s="51"/>
      <c r="F709" s="51"/>
      <c r="G709" s="51"/>
      <c r="H709" s="51"/>
    </row>
    <row r="710" spans="2:8" ht="15.75" customHeight="1" x14ac:dyDescent="0.25">
      <c r="B710" s="51"/>
      <c r="C710" s="51"/>
      <c r="D710" s="51"/>
      <c r="E710" s="51"/>
      <c r="F710" s="51"/>
      <c r="G710" s="51"/>
      <c r="H710" s="51"/>
    </row>
    <row r="711" spans="2:8" ht="15.75" customHeight="1" x14ac:dyDescent="0.25">
      <c r="B711" s="51"/>
      <c r="C711" s="51"/>
      <c r="D711" s="51"/>
      <c r="E711" s="51"/>
      <c r="F711" s="51"/>
      <c r="G711" s="51"/>
      <c r="H711" s="51"/>
    </row>
    <row r="712" spans="2:8" ht="15.75" customHeight="1" x14ac:dyDescent="0.25">
      <c r="B712" s="51"/>
      <c r="C712" s="51"/>
      <c r="D712" s="51"/>
      <c r="E712" s="51"/>
      <c r="F712" s="51"/>
      <c r="G712" s="51"/>
      <c r="H712" s="51"/>
    </row>
    <row r="713" spans="2:8" ht="15.75" customHeight="1" x14ac:dyDescent="0.25">
      <c r="B713" s="51"/>
      <c r="C713" s="51"/>
      <c r="D713" s="51"/>
      <c r="E713" s="51"/>
      <c r="F713" s="51"/>
      <c r="G713" s="51"/>
      <c r="H713" s="51"/>
    </row>
    <row r="714" spans="2:8" ht="15.75" customHeight="1" x14ac:dyDescent="0.25">
      <c r="B714" s="51"/>
      <c r="C714" s="51"/>
      <c r="D714" s="51"/>
      <c r="E714" s="51"/>
      <c r="F714" s="51"/>
      <c r="G714" s="51"/>
      <c r="H714" s="51"/>
    </row>
    <row r="715" spans="2:8" ht="15.75" customHeight="1" x14ac:dyDescent="0.25">
      <c r="B715" s="51"/>
      <c r="C715" s="51"/>
      <c r="D715" s="51"/>
      <c r="E715" s="51"/>
      <c r="F715" s="51"/>
      <c r="G715" s="51"/>
      <c r="H715" s="51"/>
    </row>
    <row r="716" spans="2:8" ht="15.75" customHeight="1" x14ac:dyDescent="0.25">
      <c r="B716" s="51"/>
      <c r="C716" s="51"/>
      <c r="D716" s="51"/>
      <c r="E716" s="51"/>
      <c r="F716" s="51"/>
      <c r="G716" s="51"/>
      <c r="H716" s="51"/>
    </row>
    <row r="717" spans="2:8" ht="15.75" customHeight="1" x14ac:dyDescent="0.25">
      <c r="B717" s="51"/>
      <c r="C717" s="51"/>
      <c r="D717" s="51"/>
      <c r="E717" s="51"/>
      <c r="F717" s="51"/>
      <c r="G717" s="51"/>
      <c r="H717" s="51"/>
    </row>
    <row r="718" spans="2:8" ht="15.75" customHeight="1" x14ac:dyDescent="0.25">
      <c r="B718" s="51"/>
      <c r="C718" s="51"/>
      <c r="D718" s="51"/>
      <c r="E718" s="51"/>
      <c r="F718" s="51"/>
      <c r="G718" s="51"/>
      <c r="H718" s="51"/>
    </row>
    <row r="719" spans="2:8" ht="15.75" customHeight="1" x14ac:dyDescent="0.25">
      <c r="B719" s="51"/>
      <c r="C719" s="51"/>
      <c r="D719" s="51"/>
      <c r="E719" s="51"/>
      <c r="F719" s="51"/>
      <c r="G719" s="51"/>
      <c r="H719" s="51"/>
    </row>
    <row r="720" spans="2:8" ht="15.75" customHeight="1" x14ac:dyDescent="0.25">
      <c r="B720" s="51"/>
      <c r="C720" s="51"/>
      <c r="D720" s="51"/>
      <c r="E720" s="51"/>
      <c r="F720" s="51"/>
      <c r="G720" s="51"/>
      <c r="H720" s="51"/>
    </row>
    <row r="721" spans="2:8" ht="15.75" customHeight="1" x14ac:dyDescent="0.25">
      <c r="B721" s="51"/>
      <c r="C721" s="51"/>
      <c r="D721" s="51"/>
      <c r="E721" s="51"/>
      <c r="F721" s="51"/>
      <c r="G721" s="51"/>
      <c r="H721" s="51"/>
    </row>
    <row r="722" spans="2:8" ht="15.75" customHeight="1" x14ac:dyDescent="0.25">
      <c r="B722" s="51"/>
      <c r="C722" s="51"/>
      <c r="D722" s="51"/>
      <c r="E722" s="51"/>
      <c r="F722" s="51"/>
      <c r="G722" s="51"/>
      <c r="H722" s="51"/>
    </row>
    <row r="723" spans="2:8" ht="15.75" customHeight="1" x14ac:dyDescent="0.25">
      <c r="B723" s="51"/>
      <c r="C723" s="51"/>
      <c r="D723" s="51"/>
      <c r="E723" s="51"/>
      <c r="F723" s="51"/>
      <c r="G723" s="51"/>
      <c r="H723" s="51"/>
    </row>
    <row r="724" spans="2:8" ht="15.75" customHeight="1" x14ac:dyDescent="0.25">
      <c r="B724" s="51"/>
      <c r="C724" s="51"/>
      <c r="D724" s="51"/>
      <c r="E724" s="51"/>
      <c r="F724" s="51"/>
      <c r="G724" s="51"/>
      <c r="H724" s="51"/>
    </row>
    <row r="725" spans="2:8" ht="15.75" customHeight="1" x14ac:dyDescent="0.25">
      <c r="B725" s="51"/>
      <c r="C725" s="51"/>
      <c r="D725" s="51"/>
      <c r="E725" s="51"/>
      <c r="F725" s="51"/>
      <c r="G725" s="51"/>
      <c r="H725" s="51"/>
    </row>
    <row r="726" spans="2:8" ht="15.75" customHeight="1" x14ac:dyDescent="0.25">
      <c r="B726" s="51"/>
      <c r="C726" s="51"/>
      <c r="D726" s="51"/>
      <c r="E726" s="51"/>
      <c r="F726" s="51"/>
      <c r="G726" s="51"/>
      <c r="H726" s="51"/>
    </row>
    <row r="727" spans="2:8" ht="15.75" customHeight="1" x14ac:dyDescent="0.25">
      <c r="B727" s="51"/>
      <c r="C727" s="51"/>
      <c r="D727" s="51"/>
      <c r="E727" s="51"/>
      <c r="F727" s="51"/>
      <c r="G727" s="51"/>
      <c r="H727" s="51"/>
    </row>
    <row r="728" spans="2:8" ht="15.75" customHeight="1" x14ac:dyDescent="0.25">
      <c r="B728" s="51"/>
      <c r="C728" s="51"/>
      <c r="D728" s="51"/>
      <c r="E728" s="51"/>
      <c r="F728" s="51"/>
      <c r="G728" s="51"/>
      <c r="H728" s="51"/>
    </row>
    <row r="729" spans="2:8" ht="15.75" customHeight="1" x14ac:dyDescent="0.25">
      <c r="B729" s="51"/>
      <c r="C729" s="51"/>
      <c r="D729" s="51"/>
      <c r="E729" s="51"/>
      <c r="F729" s="51"/>
      <c r="G729" s="51"/>
      <c r="H729" s="51"/>
    </row>
    <row r="730" spans="2:8" ht="15.75" customHeight="1" x14ac:dyDescent="0.25">
      <c r="B730" s="51"/>
      <c r="C730" s="51"/>
      <c r="D730" s="51"/>
      <c r="E730" s="51"/>
      <c r="F730" s="51"/>
      <c r="G730" s="51"/>
      <c r="H730" s="51"/>
    </row>
    <row r="731" spans="2:8" ht="15.75" customHeight="1" x14ac:dyDescent="0.25">
      <c r="B731" s="51"/>
      <c r="C731" s="51"/>
      <c r="D731" s="51"/>
      <c r="E731" s="51"/>
      <c r="F731" s="51"/>
      <c r="G731" s="51"/>
      <c r="H731" s="51"/>
    </row>
    <row r="732" spans="2:8" ht="15.75" customHeight="1" x14ac:dyDescent="0.25">
      <c r="B732" s="51"/>
      <c r="C732" s="51"/>
      <c r="D732" s="51"/>
      <c r="E732" s="51"/>
      <c r="F732" s="51"/>
      <c r="G732" s="51"/>
      <c r="H732" s="51"/>
    </row>
    <row r="733" spans="2:8" ht="15.75" customHeight="1" x14ac:dyDescent="0.25">
      <c r="B733" s="51"/>
      <c r="C733" s="51"/>
      <c r="D733" s="51"/>
      <c r="E733" s="51"/>
      <c r="F733" s="51"/>
      <c r="G733" s="51"/>
      <c r="H733" s="51"/>
    </row>
    <row r="734" spans="2:8" ht="15.75" customHeight="1" x14ac:dyDescent="0.25">
      <c r="B734" s="51"/>
      <c r="C734" s="51"/>
      <c r="D734" s="51"/>
      <c r="E734" s="51"/>
      <c r="F734" s="51"/>
      <c r="G734" s="51"/>
      <c r="H734" s="51"/>
    </row>
    <row r="735" spans="2:8" ht="15.75" customHeight="1" x14ac:dyDescent="0.25">
      <c r="B735" s="51"/>
      <c r="C735" s="51"/>
      <c r="D735" s="51"/>
      <c r="E735" s="51"/>
      <c r="F735" s="51"/>
      <c r="G735" s="51"/>
      <c r="H735" s="51"/>
    </row>
    <row r="736" spans="2:8" ht="15.75" customHeight="1" x14ac:dyDescent="0.25">
      <c r="B736" s="51"/>
      <c r="C736" s="51"/>
      <c r="D736" s="51"/>
      <c r="E736" s="51"/>
      <c r="F736" s="51"/>
      <c r="G736" s="51"/>
      <c r="H736" s="51"/>
    </row>
    <row r="737" spans="2:8" ht="15.75" customHeight="1" x14ac:dyDescent="0.25">
      <c r="B737" s="51"/>
      <c r="C737" s="51"/>
      <c r="D737" s="51"/>
      <c r="E737" s="51"/>
      <c r="F737" s="51"/>
      <c r="G737" s="51"/>
      <c r="H737" s="51"/>
    </row>
    <row r="738" spans="2:8" ht="15.75" customHeight="1" x14ac:dyDescent="0.25">
      <c r="B738" s="51"/>
      <c r="C738" s="51"/>
      <c r="D738" s="51"/>
      <c r="E738" s="51"/>
      <c r="F738" s="51"/>
      <c r="G738" s="51"/>
      <c r="H738" s="51"/>
    </row>
    <row r="739" spans="2:8" ht="15.75" customHeight="1" x14ac:dyDescent="0.25">
      <c r="B739" s="51"/>
      <c r="C739" s="51"/>
      <c r="D739" s="51"/>
      <c r="E739" s="51"/>
      <c r="F739" s="51"/>
      <c r="G739" s="51"/>
      <c r="H739" s="51"/>
    </row>
    <row r="740" spans="2:8" ht="15.75" customHeight="1" x14ac:dyDescent="0.25">
      <c r="B740" s="51"/>
      <c r="C740" s="51"/>
      <c r="D740" s="51"/>
      <c r="E740" s="51"/>
      <c r="F740" s="51"/>
      <c r="G740" s="51"/>
      <c r="H740" s="51"/>
    </row>
    <row r="741" spans="2:8" ht="15.75" customHeight="1" x14ac:dyDescent="0.25">
      <c r="B741" s="51"/>
      <c r="C741" s="51"/>
      <c r="D741" s="51"/>
      <c r="E741" s="51"/>
      <c r="F741" s="51"/>
      <c r="G741" s="51"/>
      <c r="H741" s="51"/>
    </row>
    <row r="742" spans="2:8" ht="15.75" customHeight="1" x14ac:dyDescent="0.25">
      <c r="B742" s="51"/>
      <c r="C742" s="51"/>
      <c r="D742" s="51"/>
      <c r="E742" s="51"/>
      <c r="F742" s="51"/>
      <c r="G742" s="51"/>
      <c r="H742" s="51"/>
    </row>
    <row r="743" spans="2:8" ht="15.75" customHeight="1" x14ac:dyDescent="0.25">
      <c r="B743" s="51"/>
      <c r="C743" s="51"/>
      <c r="D743" s="51"/>
      <c r="E743" s="51"/>
      <c r="F743" s="51"/>
      <c r="G743" s="51"/>
      <c r="H743" s="51"/>
    </row>
    <row r="744" spans="2:8" ht="15.75" customHeight="1" x14ac:dyDescent="0.25">
      <c r="B744" s="51"/>
      <c r="C744" s="51"/>
      <c r="D744" s="51"/>
      <c r="E744" s="51"/>
      <c r="F744" s="51"/>
      <c r="G744" s="51"/>
      <c r="H744" s="51"/>
    </row>
    <row r="745" spans="2:8" ht="15.75" customHeight="1" x14ac:dyDescent="0.25">
      <c r="B745" s="51"/>
      <c r="C745" s="51"/>
      <c r="D745" s="51"/>
      <c r="E745" s="51"/>
      <c r="F745" s="51"/>
      <c r="G745" s="51"/>
      <c r="H745" s="51"/>
    </row>
    <row r="746" spans="2:8" ht="15.75" customHeight="1" x14ac:dyDescent="0.25">
      <c r="B746" s="51"/>
      <c r="C746" s="51"/>
      <c r="D746" s="51"/>
      <c r="E746" s="51"/>
      <c r="F746" s="51"/>
      <c r="G746" s="51"/>
      <c r="H746" s="51"/>
    </row>
    <row r="747" spans="2:8" ht="15.75" customHeight="1" x14ac:dyDescent="0.25">
      <c r="B747" s="51"/>
      <c r="C747" s="51"/>
      <c r="D747" s="51"/>
      <c r="E747" s="51"/>
      <c r="F747" s="51"/>
      <c r="G747" s="51"/>
      <c r="H747" s="51"/>
    </row>
    <row r="748" spans="2:8" ht="15.75" customHeight="1" x14ac:dyDescent="0.25">
      <c r="B748" s="51"/>
      <c r="C748" s="51"/>
      <c r="D748" s="51"/>
      <c r="E748" s="51"/>
      <c r="F748" s="51"/>
      <c r="G748" s="51"/>
      <c r="H748" s="51"/>
    </row>
    <row r="749" spans="2:8" ht="15.75" customHeight="1" x14ac:dyDescent="0.25">
      <c r="B749" s="51"/>
      <c r="C749" s="51"/>
      <c r="D749" s="51"/>
      <c r="E749" s="51"/>
      <c r="F749" s="51"/>
      <c r="G749" s="51"/>
      <c r="H749" s="51"/>
    </row>
    <row r="750" spans="2:8" ht="15.75" customHeight="1" x14ac:dyDescent="0.25">
      <c r="B750" s="51"/>
      <c r="C750" s="51"/>
      <c r="D750" s="51"/>
      <c r="E750" s="51"/>
      <c r="F750" s="51"/>
      <c r="G750" s="51"/>
      <c r="H750" s="51"/>
    </row>
    <row r="751" spans="2:8" ht="15.75" customHeight="1" x14ac:dyDescent="0.25">
      <c r="B751" s="51"/>
      <c r="C751" s="51"/>
      <c r="D751" s="51"/>
      <c r="E751" s="51"/>
      <c r="F751" s="51"/>
      <c r="G751" s="51"/>
      <c r="H751" s="51"/>
    </row>
    <row r="752" spans="2:8" ht="15.75" customHeight="1" x14ac:dyDescent="0.25">
      <c r="B752" s="51"/>
      <c r="C752" s="51"/>
      <c r="D752" s="51"/>
      <c r="E752" s="51"/>
      <c r="F752" s="51"/>
      <c r="G752" s="51"/>
      <c r="H752" s="51"/>
    </row>
    <row r="753" spans="2:8" ht="15.75" customHeight="1" x14ac:dyDescent="0.25">
      <c r="B753" s="51"/>
      <c r="C753" s="51"/>
      <c r="D753" s="51"/>
      <c r="E753" s="51"/>
      <c r="F753" s="51"/>
      <c r="G753" s="51"/>
      <c r="H753" s="51"/>
    </row>
    <row r="754" spans="2:8" ht="15.75" customHeight="1" x14ac:dyDescent="0.25">
      <c r="B754" s="51"/>
      <c r="C754" s="51"/>
      <c r="D754" s="51"/>
      <c r="E754" s="51"/>
      <c r="F754" s="51"/>
      <c r="G754" s="51"/>
      <c r="H754" s="51"/>
    </row>
    <row r="755" spans="2:8" ht="15.75" customHeight="1" x14ac:dyDescent="0.25">
      <c r="B755" s="51"/>
      <c r="C755" s="51"/>
      <c r="D755" s="51"/>
      <c r="E755" s="51"/>
      <c r="F755" s="51"/>
      <c r="G755" s="51"/>
      <c r="H755" s="51"/>
    </row>
    <row r="756" spans="2:8" ht="15.75" customHeight="1" x14ac:dyDescent="0.25">
      <c r="B756" s="51"/>
      <c r="C756" s="51"/>
      <c r="D756" s="51"/>
      <c r="E756" s="51"/>
      <c r="F756" s="51"/>
      <c r="G756" s="51"/>
      <c r="H756" s="51"/>
    </row>
    <row r="757" spans="2:8" ht="15.75" customHeight="1" x14ac:dyDescent="0.25">
      <c r="B757" s="51"/>
      <c r="C757" s="51"/>
      <c r="D757" s="51"/>
      <c r="E757" s="51"/>
      <c r="F757" s="51"/>
      <c r="G757" s="51"/>
      <c r="H757" s="51"/>
    </row>
    <row r="758" spans="2:8" ht="15.75" customHeight="1" x14ac:dyDescent="0.25">
      <c r="B758" s="51"/>
      <c r="C758" s="51"/>
      <c r="D758" s="51"/>
      <c r="E758" s="51"/>
      <c r="F758" s="51"/>
      <c r="G758" s="51"/>
      <c r="H758" s="51"/>
    </row>
    <row r="759" spans="2:8" ht="15.75" customHeight="1" x14ac:dyDescent="0.25">
      <c r="B759" s="51"/>
      <c r="C759" s="51"/>
      <c r="D759" s="51"/>
      <c r="E759" s="51"/>
      <c r="F759" s="51"/>
      <c r="G759" s="51"/>
      <c r="H759" s="51"/>
    </row>
    <row r="760" spans="2:8" ht="15.75" customHeight="1" x14ac:dyDescent="0.25">
      <c r="B760" s="51"/>
      <c r="C760" s="51"/>
      <c r="D760" s="51"/>
      <c r="E760" s="51"/>
      <c r="F760" s="51"/>
      <c r="G760" s="51"/>
      <c r="H760" s="51"/>
    </row>
    <row r="761" spans="2:8" ht="15.75" customHeight="1" x14ac:dyDescent="0.25">
      <c r="B761" s="51"/>
      <c r="C761" s="51"/>
      <c r="D761" s="51"/>
      <c r="E761" s="51"/>
      <c r="F761" s="51"/>
      <c r="G761" s="51"/>
      <c r="H761" s="51"/>
    </row>
    <row r="762" spans="2:8" ht="15.75" customHeight="1" x14ac:dyDescent="0.25">
      <c r="B762" s="51"/>
      <c r="C762" s="51"/>
      <c r="D762" s="51"/>
      <c r="E762" s="51"/>
      <c r="F762" s="51"/>
      <c r="G762" s="51"/>
      <c r="H762" s="51"/>
    </row>
    <row r="763" spans="2:8" ht="15.75" customHeight="1" x14ac:dyDescent="0.25">
      <c r="B763" s="51"/>
      <c r="C763" s="51"/>
      <c r="D763" s="51"/>
      <c r="E763" s="51"/>
      <c r="F763" s="51"/>
      <c r="G763" s="51"/>
      <c r="H763" s="51"/>
    </row>
    <row r="764" spans="2:8" ht="15.75" customHeight="1" x14ac:dyDescent="0.25">
      <c r="B764" s="51"/>
      <c r="C764" s="51"/>
      <c r="D764" s="51"/>
      <c r="E764" s="51"/>
      <c r="F764" s="51"/>
      <c r="G764" s="51"/>
      <c r="H764" s="51"/>
    </row>
    <row r="765" spans="2:8" ht="15.75" customHeight="1" x14ac:dyDescent="0.25">
      <c r="B765" s="51"/>
      <c r="C765" s="51"/>
      <c r="D765" s="51"/>
      <c r="E765" s="51"/>
      <c r="F765" s="51"/>
      <c r="G765" s="51"/>
      <c r="H765" s="51"/>
    </row>
    <row r="766" spans="2:8" ht="15.75" customHeight="1" x14ac:dyDescent="0.25">
      <c r="B766" s="51"/>
      <c r="C766" s="51"/>
      <c r="D766" s="51"/>
      <c r="E766" s="51"/>
      <c r="F766" s="51"/>
      <c r="G766" s="51"/>
      <c r="H766" s="51"/>
    </row>
    <row r="767" spans="2:8" ht="15.75" customHeight="1" x14ac:dyDescent="0.25">
      <c r="B767" s="51"/>
      <c r="C767" s="51"/>
      <c r="D767" s="51"/>
      <c r="E767" s="51"/>
      <c r="F767" s="51"/>
      <c r="G767" s="51"/>
      <c r="H767" s="51"/>
    </row>
    <row r="768" spans="2:8" ht="15.75" customHeight="1" x14ac:dyDescent="0.25">
      <c r="B768" s="51"/>
      <c r="C768" s="51"/>
      <c r="D768" s="51"/>
      <c r="E768" s="51"/>
      <c r="F768" s="51"/>
      <c r="G768" s="51"/>
      <c r="H768" s="51"/>
    </row>
    <row r="769" spans="2:8" ht="15.75" customHeight="1" x14ac:dyDescent="0.25">
      <c r="B769" s="51"/>
      <c r="C769" s="51"/>
      <c r="D769" s="51"/>
      <c r="E769" s="51"/>
      <c r="F769" s="51"/>
      <c r="G769" s="51"/>
      <c r="H769" s="51"/>
    </row>
    <row r="770" spans="2:8" ht="15.75" customHeight="1" x14ac:dyDescent="0.25">
      <c r="B770" s="51"/>
      <c r="C770" s="51"/>
      <c r="D770" s="51"/>
      <c r="E770" s="51"/>
      <c r="F770" s="51"/>
      <c r="G770" s="51"/>
      <c r="H770" s="51"/>
    </row>
    <row r="771" spans="2:8" ht="15.75" customHeight="1" x14ac:dyDescent="0.25">
      <c r="B771" s="51"/>
      <c r="C771" s="51"/>
      <c r="D771" s="51"/>
      <c r="E771" s="51"/>
      <c r="F771" s="51"/>
      <c r="G771" s="51"/>
      <c r="H771" s="51"/>
    </row>
    <row r="772" spans="2:8" ht="15.75" customHeight="1" x14ac:dyDescent="0.25">
      <c r="B772" s="51"/>
      <c r="C772" s="51"/>
      <c r="D772" s="51"/>
      <c r="E772" s="51"/>
      <c r="F772" s="51"/>
      <c r="G772" s="51"/>
      <c r="H772" s="51"/>
    </row>
    <row r="773" spans="2:8" ht="15.75" customHeight="1" x14ac:dyDescent="0.25">
      <c r="B773" s="51"/>
      <c r="C773" s="51"/>
      <c r="D773" s="51"/>
      <c r="E773" s="51"/>
      <c r="F773" s="51"/>
      <c r="G773" s="51"/>
      <c r="H773" s="51"/>
    </row>
    <row r="774" spans="2:8" ht="15.75" customHeight="1" x14ac:dyDescent="0.25">
      <c r="B774" s="51"/>
      <c r="C774" s="51"/>
      <c r="D774" s="51"/>
      <c r="E774" s="51"/>
      <c r="F774" s="51"/>
      <c r="G774" s="51"/>
      <c r="H774" s="51"/>
    </row>
    <row r="775" spans="2:8" ht="15.75" customHeight="1" x14ac:dyDescent="0.25">
      <c r="B775" s="51"/>
      <c r="C775" s="51"/>
      <c r="D775" s="51"/>
      <c r="E775" s="51"/>
      <c r="F775" s="51"/>
      <c r="G775" s="51"/>
      <c r="H775" s="51"/>
    </row>
    <row r="776" spans="2:8" ht="15.75" customHeight="1" x14ac:dyDescent="0.25">
      <c r="B776" s="51"/>
      <c r="C776" s="51"/>
      <c r="D776" s="51"/>
      <c r="E776" s="51"/>
      <c r="F776" s="51"/>
      <c r="G776" s="51"/>
      <c r="H776" s="51"/>
    </row>
    <row r="777" spans="2:8" ht="15.75" customHeight="1" x14ac:dyDescent="0.25">
      <c r="B777" s="51"/>
      <c r="C777" s="51"/>
      <c r="D777" s="51"/>
      <c r="E777" s="51"/>
      <c r="F777" s="51"/>
      <c r="G777" s="51"/>
      <c r="H777" s="51"/>
    </row>
    <row r="778" spans="2:8" ht="15.75" customHeight="1" x14ac:dyDescent="0.25">
      <c r="B778" s="51"/>
      <c r="C778" s="51"/>
      <c r="D778" s="51"/>
      <c r="E778" s="51"/>
      <c r="F778" s="51"/>
      <c r="G778" s="51"/>
      <c r="H778" s="51"/>
    </row>
    <row r="779" spans="2:8" ht="15.75" customHeight="1" x14ac:dyDescent="0.25">
      <c r="B779" s="51"/>
      <c r="C779" s="51"/>
      <c r="D779" s="51"/>
      <c r="E779" s="51"/>
      <c r="F779" s="51"/>
      <c r="G779" s="51"/>
      <c r="H779" s="51"/>
    </row>
    <row r="780" spans="2:8" ht="15.75" customHeight="1" x14ac:dyDescent="0.25">
      <c r="B780" s="51"/>
      <c r="C780" s="51"/>
      <c r="D780" s="51"/>
      <c r="E780" s="51"/>
      <c r="F780" s="51"/>
      <c r="G780" s="51"/>
      <c r="H780" s="51"/>
    </row>
    <row r="781" spans="2:8" ht="15.75" customHeight="1" x14ac:dyDescent="0.25">
      <c r="B781" s="51"/>
      <c r="C781" s="51"/>
      <c r="D781" s="51"/>
      <c r="E781" s="51"/>
      <c r="F781" s="51"/>
      <c r="G781" s="51"/>
      <c r="H781" s="51"/>
    </row>
    <row r="782" spans="2:8" ht="15.75" customHeight="1" x14ac:dyDescent="0.25">
      <c r="B782" s="51"/>
      <c r="C782" s="51"/>
      <c r="D782" s="51"/>
      <c r="E782" s="51"/>
      <c r="F782" s="51"/>
      <c r="G782" s="51"/>
      <c r="H782" s="51"/>
    </row>
    <row r="783" spans="2:8" ht="15.75" customHeight="1" x14ac:dyDescent="0.25">
      <c r="B783" s="51"/>
      <c r="C783" s="51"/>
      <c r="D783" s="51"/>
      <c r="E783" s="51"/>
      <c r="F783" s="51"/>
      <c r="G783" s="51"/>
      <c r="H783" s="51"/>
    </row>
    <row r="784" spans="2:8" ht="15.75" customHeight="1" x14ac:dyDescent="0.25">
      <c r="B784" s="51"/>
      <c r="C784" s="51"/>
      <c r="D784" s="51"/>
      <c r="E784" s="51"/>
      <c r="F784" s="51"/>
      <c r="G784" s="51"/>
      <c r="H784" s="51"/>
    </row>
    <row r="785" spans="2:8" ht="15.75" customHeight="1" x14ac:dyDescent="0.25">
      <c r="B785" s="51"/>
      <c r="C785" s="51"/>
      <c r="D785" s="51"/>
      <c r="E785" s="51"/>
      <c r="F785" s="51"/>
      <c r="G785" s="51"/>
      <c r="H785" s="51"/>
    </row>
    <row r="786" spans="2:8" ht="15.75" customHeight="1" x14ac:dyDescent="0.25">
      <c r="B786" s="51"/>
      <c r="C786" s="51"/>
      <c r="D786" s="51"/>
      <c r="E786" s="51"/>
      <c r="F786" s="51"/>
      <c r="G786" s="51"/>
      <c r="H786" s="51"/>
    </row>
    <row r="787" spans="2:8" ht="15.75" customHeight="1" x14ac:dyDescent="0.25">
      <c r="B787" s="51"/>
      <c r="C787" s="51"/>
      <c r="D787" s="51"/>
      <c r="E787" s="51"/>
      <c r="F787" s="51"/>
      <c r="G787" s="51"/>
      <c r="H787" s="51"/>
    </row>
    <row r="788" spans="2:8" ht="15.75" customHeight="1" x14ac:dyDescent="0.25">
      <c r="B788" s="51"/>
      <c r="C788" s="51"/>
      <c r="D788" s="51"/>
      <c r="E788" s="51"/>
      <c r="F788" s="51"/>
      <c r="G788" s="51"/>
      <c r="H788" s="51"/>
    </row>
    <row r="789" spans="2:8" ht="15.75" customHeight="1" x14ac:dyDescent="0.25">
      <c r="B789" s="51"/>
      <c r="C789" s="51"/>
      <c r="D789" s="51"/>
      <c r="E789" s="51"/>
      <c r="F789" s="51"/>
      <c r="G789" s="51"/>
      <c r="H789" s="51"/>
    </row>
    <row r="790" spans="2:8" ht="15.75" customHeight="1" x14ac:dyDescent="0.25">
      <c r="B790" s="51"/>
      <c r="C790" s="51"/>
      <c r="D790" s="51"/>
      <c r="E790" s="51"/>
      <c r="F790" s="51"/>
      <c r="G790" s="51"/>
      <c r="H790" s="51"/>
    </row>
    <row r="791" spans="2:8" ht="15.75" customHeight="1" x14ac:dyDescent="0.25">
      <c r="B791" s="51"/>
      <c r="C791" s="51"/>
      <c r="D791" s="51"/>
      <c r="E791" s="51"/>
      <c r="F791" s="51"/>
      <c r="G791" s="51"/>
      <c r="H791" s="51"/>
    </row>
    <row r="792" spans="2:8" ht="15.75" customHeight="1" x14ac:dyDescent="0.25">
      <c r="B792" s="51"/>
      <c r="C792" s="51"/>
      <c r="D792" s="51"/>
      <c r="E792" s="51"/>
      <c r="F792" s="51"/>
      <c r="G792" s="51"/>
      <c r="H792" s="51"/>
    </row>
    <row r="793" spans="2:8" ht="15.75" customHeight="1" x14ac:dyDescent="0.25">
      <c r="B793" s="51"/>
      <c r="C793" s="51"/>
      <c r="D793" s="51"/>
      <c r="E793" s="51"/>
      <c r="F793" s="51"/>
      <c r="G793" s="51"/>
      <c r="H793" s="51"/>
    </row>
    <row r="794" spans="2:8" ht="15.75" customHeight="1" x14ac:dyDescent="0.25">
      <c r="B794" s="51"/>
      <c r="C794" s="51"/>
      <c r="D794" s="51"/>
      <c r="E794" s="51"/>
      <c r="F794" s="51"/>
      <c r="G794" s="51"/>
      <c r="H794" s="51"/>
    </row>
    <row r="795" spans="2:8" ht="15.75" customHeight="1" x14ac:dyDescent="0.25">
      <c r="B795" s="51"/>
      <c r="C795" s="51"/>
      <c r="D795" s="51"/>
      <c r="E795" s="51"/>
      <c r="F795" s="51"/>
      <c r="G795" s="51"/>
      <c r="H795" s="51"/>
    </row>
    <row r="796" spans="2:8" ht="15.75" customHeight="1" x14ac:dyDescent="0.25">
      <c r="B796" s="51"/>
      <c r="C796" s="51"/>
      <c r="D796" s="51"/>
      <c r="E796" s="51"/>
      <c r="F796" s="51"/>
      <c r="G796" s="51"/>
      <c r="H796" s="51"/>
    </row>
    <row r="797" spans="2:8" ht="15.75" customHeight="1" x14ac:dyDescent="0.25">
      <c r="B797" s="51"/>
      <c r="C797" s="51"/>
      <c r="D797" s="51"/>
      <c r="E797" s="51"/>
      <c r="F797" s="51"/>
      <c r="G797" s="51"/>
      <c r="H797" s="51"/>
    </row>
    <row r="798" spans="2:8" ht="15.75" customHeight="1" x14ac:dyDescent="0.25">
      <c r="B798" s="51"/>
      <c r="C798" s="51"/>
      <c r="D798" s="51"/>
      <c r="E798" s="51"/>
      <c r="F798" s="51"/>
      <c r="G798" s="51"/>
      <c r="H798" s="51"/>
    </row>
    <row r="799" spans="2:8" ht="15.75" customHeight="1" x14ac:dyDescent="0.25">
      <c r="B799" s="51"/>
      <c r="C799" s="51"/>
      <c r="D799" s="51"/>
      <c r="E799" s="51"/>
      <c r="F799" s="51"/>
      <c r="G799" s="51"/>
      <c r="H799" s="51"/>
    </row>
    <row r="800" spans="2:8" ht="15.75" customHeight="1" x14ac:dyDescent="0.25">
      <c r="B800" s="51"/>
      <c r="C800" s="51"/>
      <c r="D800" s="51"/>
      <c r="E800" s="51"/>
      <c r="F800" s="51"/>
      <c r="G800" s="51"/>
      <c r="H800" s="51"/>
    </row>
    <row r="801" spans="2:8" ht="15.75" customHeight="1" x14ac:dyDescent="0.25">
      <c r="B801" s="51"/>
      <c r="C801" s="51"/>
      <c r="D801" s="51"/>
      <c r="E801" s="51"/>
      <c r="F801" s="51"/>
      <c r="G801" s="51"/>
      <c r="H801" s="51"/>
    </row>
    <row r="802" spans="2:8" ht="15.75" customHeight="1" x14ac:dyDescent="0.25">
      <c r="B802" s="51"/>
      <c r="C802" s="51"/>
      <c r="D802" s="51"/>
      <c r="E802" s="51"/>
      <c r="F802" s="51"/>
      <c r="G802" s="51"/>
      <c r="H802" s="51"/>
    </row>
    <row r="803" spans="2:8" ht="15.75" customHeight="1" x14ac:dyDescent="0.25">
      <c r="B803" s="51"/>
      <c r="C803" s="51"/>
      <c r="D803" s="51"/>
      <c r="E803" s="51"/>
      <c r="F803" s="51"/>
      <c r="G803" s="51"/>
      <c r="H803" s="51"/>
    </row>
    <row r="804" spans="2:8" ht="15.75" customHeight="1" x14ac:dyDescent="0.25">
      <c r="B804" s="51"/>
      <c r="C804" s="51"/>
      <c r="D804" s="51"/>
      <c r="E804" s="51"/>
      <c r="F804" s="51"/>
      <c r="G804" s="51"/>
      <c r="H804" s="51"/>
    </row>
    <row r="805" spans="2:8" ht="15.75" customHeight="1" x14ac:dyDescent="0.25">
      <c r="B805" s="51"/>
      <c r="C805" s="51"/>
      <c r="D805" s="51"/>
      <c r="E805" s="51"/>
      <c r="F805" s="51"/>
      <c r="G805" s="51"/>
      <c r="H805" s="51"/>
    </row>
    <row r="806" spans="2:8" ht="15.75" customHeight="1" x14ac:dyDescent="0.25">
      <c r="B806" s="51"/>
      <c r="C806" s="51"/>
      <c r="D806" s="51"/>
      <c r="E806" s="51"/>
      <c r="F806" s="51"/>
      <c r="G806" s="51"/>
      <c r="H806" s="51"/>
    </row>
    <row r="807" spans="2:8" ht="15.75" customHeight="1" x14ac:dyDescent="0.25">
      <c r="B807" s="51"/>
      <c r="C807" s="51"/>
      <c r="D807" s="51"/>
      <c r="E807" s="51"/>
      <c r="F807" s="51"/>
      <c r="G807" s="51"/>
      <c r="H807" s="51"/>
    </row>
    <row r="808" spans="2:8" ht="15.75" customHeight="1" x14ac:dyDescent="0.25">
      <c r="B808" s="51"/>
      <c r="C808" s="51"/>
      <c r="D808" s="51"/>
      <c r="E808" s="51"/>
      <c r="F808" s="51"/>
      <c r="G808" s="51"/>
      <c r="H808" s="51"/>
    </row>
    <row r="809" spans="2:8" ht="15.75" customHeight="1" x14ac:dyDescent="0.25">
      <c r="B809" s="51"/>
      <c r="C809" s="51"/>
      <c r="D809" s="51"/>
      <c r="E809" s="51"/>
      <c r="F809" s="51"/>
      <c r="G809" s="51"/>
      <c r="H809" s="51"/>
    </row>
    <row r="810" spans="2:8" ht="15.75" customHeight="1" x14ac:dyDescent="0.25">
      <c r="B810" s="51"/>
      <c r="C810" s="51"/>
      <c r="D810" s="51"/>
      <c r="E810" s="51"/>
      <c r="F810" s="51"/>
      <c r="G810" s="51"/>
      <c r="H810" s="51"/>
    </row>
    <row r="811" spans="2:8" ht="15.75" customHeight="1" x14ac:dyDescent="0.25">
      <c r="B811" s="51"/>
      <c r="C811" s="51"/>
      <c r="D811" s="51"/>
      <c r="E811" s="51"/>
      <c r="F811" s="51"/>
      <c r="G811" s="51"/>
      <c r="H811" s="51"/>
    </row>
    <row r="812" spans="2:8" ht="15.75" customHeight="1" x14ac:dyDescent="0.25">
      <c r="B812" s="51"/>
      <c r="C812" s="51"/>
      <c r="D812" s="51"/>
      <c r="E812" s="51"/>
      <c r="F812" s="51"/>
      <c r="G812" s="51"/>
      <c r="H812" s="51"/>
    </row>
    <row r="813" spans="2:8" ht="15.75" customHeight="1" x14ac:dyDescent="0.25">
      <c r="B813" s="51"/>
      <c r="C813" s="51"/>
      <c r="D813" s="51"/>
      <c r="E813" s="51"/>
      <c r="F813" s="51"/>
      <c r="G813" s="51"/>
      <c r="H813" s="51"/>
    </row>
    <row r="814" spans="2:8" ht="15.75" customHeight="1" x14ac:dyDescent="0.25">
      <c r="B814" s="51"/>
      <c r="C814" s="51"/>
      <c r="D814" s="51"/>
      <c r="E814" s="51"/>
      <c r="F814" s="51"/>
      <c r="G814" s="51"/>
      <c r="H814" s="51"/>
    </row>
    <row r="815" spans="2:8" ht="15.75" customHeight="1" x14ac:dyDescent="0.25">
      <c r="B815" s="51"/>
      <c r="C815" s="51"/>
      <c r="D815" s="51"/>
      <c r="E815" s="51"/>
      <c r="F815" s="51"/>
      <c r="G815" s="51"/>
      <c r="H815" s="51"/>
    </row>
    <row r="816" spans="2:8" ht="15.75" customHeight="1" x14ac:dyDescent="0.25">
      <c r="B816" s="51"/>
      <c r="C816" s="51"/>
      <c r="D816" s="51"/>
      <c r="E816" s="51"/>
      <c r="F816" s="51"/>
      <c r="G816" s="51"/>
      <c r="H816" s="51"/>
    </row>
    <row r="817" spans="2:8" ht="15.75" customHeight="1" x14ac:dyDescent="0.25">
      <c r="B817" s="51"/>
      <c r="C817" s="51"/>
      <c r="D817" s="51"/>
      <c r="E817" s="51"/>
      <c r="F817" s="51"/>
      <c r="G817" s="51"/>
      <c r="H817" s="51"/>
    </row>
    <row r="818" spans="2:8" ht="15.75" customHeight="1" x14ac:dyDescent="0.25">
      <c r="B818" s="51"/>
      <c r="C818" s="51"/>
      <c r="D818" s="51"/>
      <c r="E818" s="51"/>
      <c r="F818" s="51"/>
      <c r="G818" s="51"/>
      <c r="H818" s="51"/>
    </row>
    <row r="819" spans="2:8" ht="15.75" customHeight="1" x14ac:dyDescent="0.25">
      <c r="B819" s="51"/>
      <c r="C819" s="51"/>
      <c r="D819" s="51"/>
      <c r="E819" s="51"/>
      <c r="F819" s="51"/>
      <c r="G819" s="51"/>
      <c r="H819" s="51"/>
    </row>
    <row r="820" spans="2:8" ht="15.75" customHeight="1" x14ac:dyDescent="0.25">
      <c r="B820" s="51"/>
      <c r="C820" s="51"/>
      <c r="D820" s="51"/>
      <c r="E820" s="51"/>
      <c r="F820" s="51"/>
      <c r="G820" s="51"/>
      <c r="H820" s="51"/>
    </row>
    <row r="821" spans="2:8" ht="15.75" customHeight="1" x14ac:dyDescent="0.25">
      <c r="B821" s="51"/>
      <c r="C821" s="51"/>
      <c r="D821" s="51"/>
      <c r="E821" s="51"/>
      <c r="F821" s="51"/>
      <c r="G821" s="51"/>
      <c r="H821" s="51"/>
    </row>
    <row r="822" spans="2:8" ht="15.75" customHeight="1" x14ac:dyDescent="0.25">
      <c r="B822" s="51"/>
      <c r="C822" s="51"/>
      <c r="D822" s="51"/>
      <c r="E822" s="51"/>
      <c r="F822" s="51"/>
      <c r="G822" s="51"/>
      <c r="H822" s="51"/>
    </row>
    <row r="823" spans="2:8" ht="15.75" customHeight="1" x14ac:dyDescent="0.25">
      <c r="B823" s="51"/>
      <c r="C823" s="51"/>
      <c r="D823" s="51"/>
      <c r="E823" s="51"/>
      <c r="F823" s="51"/>
      <c r="G823" s="51"/>
      <c r="H823" s="51"/>
    </row>
    <row r="824" spans="2:8" ht="15.75" customHeight="1" x14ac:dyDescent="0.25">
      <c r="B824" s="51"/>
      <c r="C824" s="51"/>
      <c r="D824" s="51"/>
      <c r="E824" s="51"/>
      <c r="F824" s="51"/>
      <c r="G824" s="51"/>
      <c r="H824" s="51"/>
    </row>
    <row r="825" spans="2:8" ht="15.75" customHeight="1" x14ac:dyDescent="0.25">
      <c r="B825" s="51"/>
      <c r="C825" s="51"/>
      <c r="D825" s="51"/>
      <c r="E825" s="51"/>
      <c r="F825" s="51"/>
      <c r="G825" s="51"/>
      <c r="H825" s="51"/>
    </row>
    <row r="826" spans="2:8" ht="15.75" customHeight="1" x14ac:dyDescent="0.25">
      <c r="B826" s="51"/>
      <c r="C826" s="51"/>
      <c r="D826" s="51"/>
      <c r="E826" s="51"/>
      <c r="F826" s="51"/>
      <c r="G826" s="51"/>
      <c r="H826" s="51"/>
    </row>
    <row r="827" spans="2:8" ht="15.75" customHeight="1" x14ac:dyDescent="0.25">
      <c r="B827" s="51"/>
      <c r="C827" s="51"/>
      <c r="D827" s="51"/>
      <c r="E827" s="51"/>
      <c r="F827" s="51"/>
      <c r="G827" s="51"/>
      <c r="H827" s="51"/>
    </row>
    <row r="828" spans="2:8" ht="15.75" customHeight="1" x14ac:dyDescent="0.25">
      <c r="B828" s="51"/>
      <c r="C828" s="51"/>
      <c r="D828" s="51"/>
      <c r="E828" s="51"/>
      <c r="F828" s="51"/>
      <c r="G828" s="51"/>
      <c r="H828" s="51"/>
    </row>
    <row r="829" spans="2:8" ht="15.75" customHeight="1" x14ac:dyDescent="0.25">
      <c r="B829" s="51"/>
      <c r="C829" s="51"/>
      <c r="D829" s="51"/>
      <c r="E829" s="51"/>
      <c r="F829" s="51"/>
      <c r="G829" s="51"/>
      <c r="H829" s="51"/>
    </row>
    <row r="830" spans="2:8" ht="15.75" customHeight="1" x14ac:dyDescent="0.25">
      <c r="B830" s="51"/>
      <c r="C830" s="51"/>
      <c r="D830" s="51"/>
      <c r="E830" s="51"/>
      <c r="F830" s="51"/>
      <c r="G830" s="51"/>
      <c r="H830" s="51"/>
    </row>
    <row r="831" spans="2:8" ht="15.75" customHeight="1" x14ac:dyDescent="0.25">
      <c r="B831" s="51"/>
      <c r="C831" s="51"/>
      <c r="D831" s="51"/>
      <c r="E831" s="51"/>
      <c r="F831" s="51"/>
      <c r="G831" s="51"/>
      <c r="H831" s="51"/>
    </row>
    <row r="832" spans="2:8" ht="15.75" customHeight="1" x14ac:dyDescent="0.25">
      <c r="B832" s="51"/>
      <c r="C832" s="51"/>
      <c r="D832" s="51"/>
      <c r="E832" s="51"/>
      <c r="F832" s="51"/>
      <c r="G832" s="51"/>
      <c r="H832" s="51"/>
    </row>
    <row r="833" spans="2:8" ht="15.75" customHeight="1" x14ac:dyDescent="0.25">
      <c r="B833" s="51"/>
      <c r="C833" s="51"/>
      <c r="D833" s="51"/>
      <c r="E833" s="51"/>
      <c r="F833" s="51"/>
      <c r="G833" s="51"/>
      <c r="H833" s="51"/>
    </row>
    <row r="834" spans="2:8" ht="15.75" customHeight="1" x14ac:dyDescent="0.25">
      <c r="B834" s="51"/>
      <c r="C834" s="51"/>
      <c r="D834" s="51"/>
      <c r="E834" s="51"/>
      <c r="F834" s="51"/>
      <c r="G834" s="51"/>
      <c r="H834" s="51"/>
    </row>
    <row r="835" spans="2:8" ht="15.75" customHeight="1" x14ac:dyDescent="0.25">
      <c r="B835" s="51"/>
      <c r="C835" s="51"/>
      <c r="D835" s="51"/>
      <c r="E835" s="51"/>
      <c r="F835" s="51"/>
      <c r="G835" s="51"/>
      <c r="H835" s="51"/>
    </row>
    <row r="836" spans="2:8" ht="15.75" customHeight="1" x14ac:dyDescent="0.25">
      <c r="B836" s="51"/>
      <c r="C836" s="51"/>
      <c r="D836" s="51"/>
      <c r="E836" s="51"/>
      <c r="F836" s="51"/>
      <c r="G836" s="51"/>
      <c r="H836" s="51"/>
    </row>
    <row r="837" spans="2:8" ht="15.75" customHeight="1" x14ac:dyDescent="0.25">
      <c r="B837" s="51"/>
      <c r="C837" s="51"/>
      <c r="D837" s="51"/>
      <c r="E837" s="51"/>
      <c r="F837" s="51"/>
      <c r="G837" s="51"/>
      <c r="H837" s="51"/>
    </row>
    <row r="838" spans="2:8" ht="15.75" customHeight="1" x14ac:dyDescent="0.25">
      <c r="B838" s="51"/>
      <c r="C838" s="51"/>
      <c r="D838" s="51"/>
      <c r="E838" s="51"/>
      <c r="F838" s="51"/>
      <c r="G838" s="51"/>
      <c r="H838" s="51"/>
    </row>
    <row r="839" spans="2:8" ht="15.75" customHeight="1" x14ac:dyDescent="0.25">
      <c r="B839" s="51"/>
      <c r="C839" s="51"/>
      <c r="D839" s="51"/>
      <c r="E839" s="51"/>
      <c r="F839" s="51"/>
      <c r="G839" s="51"/>
      <c r="H839" s="51"/>
    </row>
    <row r="840" spans="2:8" ht="15.75" customHeight="1" x14ac:dyDescent="0.25">
      <c r="B840" s="51"/>
      <c r="C840" s="51"/>
      <c r="D840" s="51"/>
      <c r="E840" s="51"/>
      <c r="F840" s="51"/>
      <c r="G840" s="51"/>
      <c r="H840" s="51"/>
    </row>
    <row r="841" spans="2:8" ht="15.75" customHeight="1" x14ac:dyDescent="0.25">
      <c r="B841" s="51"/>
      <c r="C841" s="51"/>
      <c r="D841" s="51"/>
      <c r="E841" s="51"/>
      <c r="F841" s="51"/>
      <c r="G841" s="51"/>
      <c r="H841" s="51"/>
    </row>
    <row r="842" spans="2:8" ht="15.75" customHeight="1" x14ac:dyDescent="0.25">
      <c r="B842" s="51"/>
      <c r="C842" s="51"/>
      <c r="D842" s="51"/>
      <c r="E842" s="51"/>
      <c r="F842" s="51"/>
      <c r="G842" s="51"/>
      <c r="H842" s="51"/>
    </row>
    <row r="843" spans="2:8" ht="15.75" customHeight="1" x14ac:dyDescent="0.25">
      <c r="B843" s="51"/>
      <c r="C843" s="51"/>
      <c r="D843" s="51"/>
      <c r="E843" s="51"/>
      <c r="F843" s="51"/>
      <c r="G843" s="51"/>
      <c r="H843" s="51"/>
    </row>
    <row r="844" spans="2:8" ht="15.75" customHeight="1" x14ac:dyDescent="0.25">
      <c r="B844" s="51"/>
      <c r="C844" s="51"/>
      <c r="D844" s="51"/>
      <c r="E844" s="51"/>
      <c r="F844" s="51"/>
      <c r="G844" s="51"/>
      <c r="H844" s="51"/>
    </row>
    <row r="845" spans="2:8" ht="15.75" customHeight="1" x14ac:dyDescent="0.25">
      <c r="B845" s="51"/>
      <c r="C845" s="51"/>
      <c r="D845" s="51"/>
      <c r="E845" s="51"/>
      <c r="F845" s="51"/>
      <c r="G845" s="51"/>
      <c r="H845" s="51"/>
    </row>
    <row r="846" spans="2:8" ht="15.75" customHeight="1" x14ac:dyDescent="0.25">
      <c r="B846" s="51"/>
      <c r="C846" s="51"/>
      <c r="D846" s="51"/>
      <c r="E846" s="51"/>
      <c r="F846" s="51"/>
      <c r="G846" s="51"/>
      <c r="H846" s="51"/>
    </row>
    <row r="847" spans="2:8" ht="15.75" customHeight="1" x14ac:dyDescent="0.25">
      <c r="B847" s="51"/>
      <c r="C847" s="51"/>
      <c r="D847" s="51"/>
      <c r="E847" s="51"/>
      <c r="F847" s="51"/>
      <c r="G847" s="51"/>
      <c r="H847" s="51"/>
    </row>
    <row r="848" spans="2:8" ht="15.75" customHeight="1" x14ac:dyDescent="0.25">
      <c r="B848" s="51"/>
      <c r="C848" s="51"/>
      <c r="D848" s="51"/>
      <c r="E848" s="51"/>
      <c r="F848" s="51"/>
      <c r="G848" s="51"/>
      <c r="H848" s="51"/>
    </row>
    <row r="849" spans="2:8" ht="15.75" customHeight="1" x14ac:dyDescent="0.25">
      <c r="B849" s="51"/>
      <c r="C849" s="51"/>
      <c r="D849" s="51"/>
      <c r="E849" s="51"/>
      <c r="F849" s="51"/>
      <c r="G849" s="51"/>
      <c r="H849" s="51"/>
    </row>
    <row r="850" spans="2:8" ht="15.75" customHeight="1" x14ac:dyDescent="0.25">
      <c r="B850" s="51"/>
      <c r="C850" s="51"/>
      <c r="D850" s="51"/>
      <c r="E850" s="51"/>
      <c r="F850" s="51"/>
      <c r="G850" s="51"/>
      <c r="H850" s="51"/>
    </row>
    <row r="851" spans="2:8" ht="15.75" customHeight="1" x14ac:dyDescent="0.25">
      <c r="B851" s="51"/>
      <c r="C851" s="51"/>
      <c r="D851" s="51"/>
      <c r="E851" s="51"/>
      <c r="F851" s="51"/>
      <c r="G851" s="51"/>
      <c r="H851" s="51"/>
    </row>
    <row r="852" spans="2:8" ht="15.75" customHeight="1" x14ac:dyDescent="0.25">
      <c r="B852" s="51"/>
      <c r="C852" s="51"/>
      <c r="D852" s="51"/>
      <c r="E852" s="51"/>
      <c r="F852" s="51"/>
      <c r="G852" s="51"/>
      <c r="H852" s="51"/>
    </row>
    <row r="853" spans="2:8" ht="15.75" customHeight="1" x14ac:dyDescent="0.25">
      <c r="B853" s="51"/>
      <c r="C853" s="51"/>
      <c r="D853" s="51"/>
      <c r="E853" s="51"/>
      <c r="F853" s="51"/>
      <c r="G853" s="51"/>
      <c r="H853" s="51"/>
    </row>
    <row r="854" spans="2:8" ht="15.75" customHeight="1" x14ac:dyDescent="0.25">
      <c r="B854" s="51"/>
      <c r="C854" s="51"/>
      <c r="D854" s="51"/>
      <c r="E854" s="51"/>
      <c r="F854" s="51"/>
      <c r="G854" s="51"/>
      <c r="H854" s="51"/>
    </row>
    <row r="855" spans="2:8" ht="15.75" customHeight="1" x14ac:dyDescent="0.25">
      <c r="B855" s="51"/>
      <c r="C855" s="51"/>
      <c r="D855" s="51"/>
      <c r="E855" s="51"/>
      <c r="F855" s="51"/>
      <c r="G855" s="51"/>
      <c r="H855" s="51"/>
    </row>
    <row r="856" spans="2:8" ht="15.75" customHeight="1" x14ac:dyDescent="0.25">
      <c r="B856" s="51"/>
      <c r="C856" s="51"/>
      <c r="D856" s="51"/>
      <c r="E856" s="51"/>
      <c r="F856" s="51"/>
      <c r="G856" s="51"/>
      <c r="H856" s="51"/>
    </row>
    <row r="857" spans="2:8" ht="15.75" customHeight="1" x14ac:dyDescent="0.25">
      <c r="B857" s="51"/>
      <c r="C857" s="51"/>
      <c r="D857" s="51"/>
      <c r="E857" s="51"/>
      <c r="F857" s="51"/>
      <c r="G857" s="51"/>
      <c r="H857" s="51"/>
    </row>
    <row r="858" spans="2:8" ht="15.75" customHeight="1" x14ac:dyDescent="0.25">
      <c r="B858" s="51"/>
      <c r="C858" s="51"/>
      <c r="D858" s="51"/>
      <c r="E858" s="51"/>
      <c r="F858" s="51"/>
      <c r="G858" s="51"/>
      <c r="H858" s="51"/>
    </row>
    <row r="859" spans="2:8" ht="15.75" customHeight="1" x14ac:dyDescent="0.25">
      <c r="B859" s="51"/>
      <c r="C859" s="51"/>
      <c r="D859" s="51"/>
      <c r="E859" s="51"/>
      <c r="F859" s="51"/>
      <c r="G859" s="51"/>
      <c r="H859" s="51"/>
    </row>
    <row r="860" spans="2:8" ht="15.75" customHeight="1" x14ac:dyDescent="0.25">
      <c r="B860" s="51"/>
      <c r="C860" s="51"/>
      <c r="D860" s="51"/>
      <c r="E860" s="51"/>
      <c r="F860" s="51"/>
      <c r="G860" s="51"/>
      <c r="H860" s="51"/>
    </row>
    <row r="861" spans="2:8" ht="15.75" customHeight="1" x14ac:dyDescent="0.25">
      <c r="B861" s="51"/>
      <c r="C861" s="51"/>
      <c r="D861" s="51"/>
      <c r="E861" s="51"/>
      <c r="F861" s="51"/>
      <c r="G861" s="51"/>
      <c r="H861" s="51"/>
    </row>
    <row r="862" spans="2:8" ht="15.75" customHeight="1" x14ac:dyDescent="0.25">
      <c r="B862" s="51"/>
      <c r="C862" s="51"/>
      <c r="D862" s="51"/>
      <c r="E862" s="51"/>
      <c r="F862" s="51"/>
      <c r="G862" s="51"/>
      <c r="H862" s="51"/>
    </row>
    <row r="863" spans="2:8" ht="15.75" customHeight="1" x14ac:dyDescent="0.25">
      <c r="B863" s="51"/>
      <c r="C863" s="51"/>
      <c r="D863" s="51"/>
      <c r="E863" s="51"/>
      <c r="F863" s="51"/>
      <c r="G863" s="51"/>
      <c r="H863" s="51"/>
    </row>
    <row r="864" spans="2:8" ht="15.75" customHeight="1" x14ac:dyDescent="0.25">
      <c r="B864" s="51"/>
      <c r="C864" s="51"/>
      <c r="D864" s="51"/>
      <c r="E864" s="51"/>
      <c r="F864" s="51"/>
      <c r="G864" s="51"/>
      <c r="H864" s="51"/>
    </row>
    <row r="865" spans="2:8" ht="15.75" customHeight="1" x14ac:dyDescent="0.25">
      <c r="B865" s="51"/>
      <c r="C865" s="51"/>
      <c r="D865" s="51"/>
      <c r="E865" s="51"/>
      <c r="F865" s="51"/>
      <c r="G865" s="51"/>
      <c r="H865" s="51"/>
    </row>
    <row r="866" spans="2:8" ht="15.75" customHeight="1" x14ac:dyDescent="0.25">
      <c r="B866" s="51"/>
      <c r="C866" s="51"/>
      <c r="D866" s="51"/>
      <c r="E866" s="51"/>
      <c r="F866" s="51"/>
      <c r="G866" s="51"/>
      <c r="H866" s="51"/>
    </row>
    <row r="867" spans="2:8" ht="15.75" customHeight="1" x14ac:dyDescent="0.25">
      <c r="B867" s="51"/>
      <c r="C867" s="51"/>
      <c r="D867" s="51"/>
      <c r="E867" s="51"/>
      <c r="F867" s="51"/>
      <c r="G867" s="51"/>
      <c r="H867" s="51"/>
    </row>
    <row r="868" spans="2:8" ht="15.75" customHeight="1" x14ac:dyDescent="0.25">
      <c r="B868" s="51"/>
      <c r="C868" s="51"/>
      <c r="D868" s="51"/>
      <c r="E868" s="51"/>
      <c r="F868" s="51"/>
      <c r="G868" s="51"/>
      <c r="H868" s="51"/>
    </row>
    <row r="869" spans="2:8" ht="15.75" customHeight="1" x14ac:dyDescent="0.25">
      <c r="B869" s="51"/>
      <c r="C869" s="51"/>
      <c r="D869" s="51"/>
      <c r="E869" s="51"/>
      <c r="F869" s="51"/>
      <c r="G869" s="51"/>
      <c r="H869" s="51"/>
    </row>
    <row r="870" spans="2:8" ht="15.75" customHeight="1" x14ac:dyDescent="0.25">
      <c r="B870" s="51"/>
      <c r="C870" s="51"/>
      <c r="D870" s="51"/>
      <c r="E870" s="51"/>
      <c r="F870" s="51"/>
      <c r="G870" s="51"/>
      <c r="H870" s="51"/>
    </row>
    <row r="871" spans="2:8" ht="15.75" customHeight="1" x14ac:dyDescent="0.25">
      <c r="B871" s="51"/>
      <c r="C871" s="51"/>
      <c r="D871" s="51"/>
      <c r="E871" s="51"/>
      <c r="F871" s="51"/>
      <c r="G871" s="51"/>
      <c r="H871" s="51"/>
    </row>
    <row r="872" spans="2:8" ht="15.75" customHeight="1" x14ac:dyDescent="0.25">
      <c r="B872" s="51"/>
      <c r="C872" s="51"/>
      <c r="D872" s="51"/>
      <c r="E872" s="51"/>
      <c r="F872" s="51"/>
      <c r="G872" s="51"/>
      <c r="H872" s="51"/>
    </row>
    <row r="873" spans="2:8" ht="15.75" customHeight="1" x14ac:dyDescent="0.25">
      <c r="B873" s="51"/>
      <c r="C873" s="51"/>
      <c r="D873" s="51"/>
      <c r="E873" s="51"/>
      <c r="F873" s="51"/>
      <c r="G873" s="51"/>
      <c r="H873" s="51"/>
    </row>
    <row r="874" spans="2:8" ht="15.75" customHeight="1" x14ac:dyDescent="0.25">
      <c r="B874" s="51"/>
      <c r="C874" s="51"/>
      <c r="D874" s="51"/>
      <c r="E874" s="51"/>
      <c r="F874" s="51"/>
      <c r="G874" s="51"/>
      <c r="H874" s="51"/>
    </row>
    <row r="875" spans="2:8" ht="15.75" customHeight="1" x14ac:dyDescent="0.25">
      <c r="B875" s="51"/>
      <c r="C875" s="51"/>
      <c r="D875" s="51"/>
      <c r="E875" s="51"/>
      <c r="F875" s="51"/>
      <c r="G875" s="51"/>
      <c r="H875" s="51"/>
    </row>
    <row r="876" spans="2:8" ht="15.75" customHeight="1" x14ac:dyDescent="0.25">
      <c r="B876" s="51"/>
      <c r="C876" s="51"/>
      <c r="D876" s="51"/>
      <c r="E876" s="51"/>
      <c r="F876" s="51"/>
      <c r="G876" s="51"/>
      <c r="H876" s="51"/>
    </row>
    <row r="877" spans="2:8" ht="15.75" customHeight="1" x14ac:dyDescent="0.25">
      <c r="B877" s="51"/>
      <c r="C877" s="51"/>
      <c r="D877" s="51"/>
      <c r="E877" s="51"/>
      <c r="F877" s="51"/>
      <c r="G877" s="51"/>
      <c r="H877" s="51"/>
    </row>
    <row r="878" spans="2:8" ht="15.75" customHeight="1" x14ac:dyDescent="0.25">
      <c r="B878" s="51"/>
      <c r="C878" s="51"/>
      <c r="D878" s="51"/>
      <c r="E878" s="51"/>
      <c r="F878" s="51"/>
      <c r="G878" s="51"/>
      <c r="H878" s="51"/>
    </row>
    <row r="879" spans="2:8" ht="15.75" customHeight="1" x14ac:dyDescent="0.25">
      <c r="B879" s="51"/>
      <c r="C879" s="51"/>
      <c r="D879" s="51"/>
      <c r="E879" s="51"/>
      <c r="F879" s="51"/>
      <c r="G879" s="51"/>
      <c r="H879" s="51"/>
    </row>
    <row r="880" spans="2:8" ht="15.75" customHeight="1" x14ac:dyDescent="0.25">
      <c r="B880" s="51"/>
      <c r="C880" s="51"/>
      <c r="D880" s="51"/>
      <c r="E880" s="51"/>
      <c r="F880" s="51"/>
      <c r="G880" s="51"/>
      <c r="H880" s="51"/>
    </row>
    <row r="881" spans="2:8" ht="15.75" customHeight="1" x14ac:dyDescent="0.25">
      <c r="B881" s="51"/>
      <c r="C881" s="51"/>
      <c r="D881" s="51"/>
      <c r="E881" s="51"/>
      <c r="F881" s="51"/>
      <c r="G881" s="51"/>
      <c r="H881" s="51"/>
    </row>
    <row r="882" spans="2:8" ht="15.75" customHeight="1" x14ac:dyDescent="0.25">
      <c r="B882" s="51"/>
      <c r="C882" s="51"/>
      <c r="D882" s="51"/>
      <c r="E882" s="51"/>
      <c r="F882" s="51"/>
      <c r="G882" s="51"/>
      <c r="H882" s="51"/>
    </row>
    <row r="883" spans="2:8" ht="15.75" customHeight="1" x14ac:dyDescent="0.25">
      <c r="B883" s="51"/>
      <c r="C883" s="51"/>
      <c r="D883" s="51"/>
      <c r="E883" s="51"/>
      <c r="F883" s="51"/>
      <c r="G883" s="51"/>
      <c r="H883" s="51"/>
    </row>
    <row r="884" spans="2:8" ht="15.75" customHeight="1" x14ac:dyDescent="0.25">
      <c r="B884" s="51"/>
      <c r="C884" s="51"/>
      <c r="D884" s="51"/>
      <c r="E884" s="51"/>
      <c r="F884" s="51"/>
      <c r="G884" s="51"/>
      <c r="H884" s="51"/>
    </row>
    <row r="885" spans="2:8" ht="15.75" customHeight="1" x14ac:dyDescent="0.25">
      <c r="B885" s="51"/>
      <c r="C885" s="51"/>
      <c r="D885" s="51"/>
      <c r="E885" s="51"/>
      <c r="F885" s="51"/>
      <c r="G885" s="51"/>
      <c r="H885" s="51"/>
    </row>
    <row r="886" spans="2:8" ht="15.75" customHeight="1" x14ac:dyDescent="0.25">
      <c r="B886" s="51"/>
      <c r="C886" s="51"/>
      <c r="D886" s="51"/>
      <c r="E886" s="51"/>
      <c r="F886" s="51"/>
      <c r="G886" s="51"/>
      <c r="H886" s="51"/>
    </row>
    <row r="887" spans="2:8" ht="15.75" customHeight="1" x14ac:dyDescent="0.25">
      <c r="B887" s="51"/>
      <c r="C887" s="51"/>
      <c r="D887" s="51"/>
      <c r="E887" s="51"/>
      <c r="F887" s="51"/>
      <c r="G887" s="51"/>
      <c r="H887" s="51"/>
    </row>
    <row r="888" spans="2:8" ht="15.75" customHeight="1" x14ac:dyDescent="0.25">
      <c r="B888" s="51"/>
      <c r="C888" s="51"/>
      <c r="D888" s="51"/>
      <c r="E888" s="51"/>
      <c r="F888" s="51"/>
      <c r="G888" s="51"/>
      <c r="H888" s="51"/>
    </row>
    <row r="889" spans="2:8" ht="15.75" customHeight="1" x14ac:dyDescent="0.25">
      <c r="B889" s="51"/>
      <c r="C889" s="51"/>
      <c r="D889" s="51"/>
      <c r="E889" s="51"/>
      <c r="F889" s="51"/>
      <c r="G889" s="51"/>
      <c r="H889" s="51"/>
    </row>
    <row r="890" spans="2:8" ht="15.75" customHeight="1" x14ac:dyDescent="0.25">
      <c r="B890" s="51"/>
      <c r="C890" s="51"/>
      <c r="D890" s="51"/>
      <c r="E890" s="51"/>
      <c r="F890" s="51"/>
      <c r="G890" s="51"/>
      <c r="H890" s="51"/>
    </row>
    <row r="891" spans="2:8" ht="15.75" customHeight="1" x14ac:dyDescent="0.25">
      <c r="B891" s="51"/>
      <c r="C891" s="51"/>
      <c r="D891" s="51"/>
      <c r="E891" s="51"/>
      <c r="F891" s="51"/>
      <c r="G891" s="51"/>
      <c r="H891" s="51"/>
    </row>
    <row r="892" spans="2:8" ht="15.75" customHeight="1" x14ac:dyDescent="0.25">
      <c r="B892" s="51"/>
      <c r="C892" s="51"/>
      <c r="D892" s="51"/>
      <c r="E892" s="51"/>
      <c r="F892" s="51"/>
      <c r="G892" s="51"/>
      <c r="H892" s="51"/>
    </row>
    <row r="893" spans="2:8" ht="15.75" customHeight="1" x14ac:dyDescent="0.25">
      <c r="B893" s="51"/>
      <c r="C893" s="51"/>
      <c r="D893" s="51"/>
      <c r="E893" s="51"/>
      <c r="F893" s="51"/>
      <c r="G893" s="51"/>
      <c r="H893" s="51"/>
    </row>
    <row r="894" spans="2:8" ht="15.75" customHeight="1" x14ac:dyDescent="0.25">
      <c r="B894" s="51"/>
      <c r="C894" s="51"/>
      <c r="D894" s="51"/>
      <c r="E894" s="51"/>
      <c r="F894" s="51"/>
      <c r="G894" s="51"/>
      <c r="H894" s="51"/>
    </row>
    <row r="895" spans="2:8" ht="15.75" customHeight="1" x14ac:dyDescent="0.25">
      <c r="B895" s="51"/>
      <c r="C895" s="51"/>
      <c r="D895" s="51"/>
      <c r="E895" s="51"/>
      <c r="F895" s="51"/>
      <c r="G895" s="51"/>
      <c r="H895" s="51"/>
    </row>
    <row r="896" spans="2:8" ht="15.75" customHeight="1" x14ac:dyDescent="0.25">
      <c r="B896" s="51"/>
      <c r="C896" s="51"/>
      <c r="D896" s="51"/>
      <c r="E896" s="51"/>
      <c r="F896" s="51"/>
      <c r="G896" s="51"/>
      <c r="H896" s="51"/>
    </row>
    <row r="897" spans="2:8" ht="15.75" customHeight="1" x14ac:dyDescent="0.25">
      <c r="B897" s="51"/>
      <c r="C897" s="51"/>
      <c r="D897" s="51"/>
      <c r="E897" s="51"/>
      <c r="F897" s="51"/>
      <c r="G897" s="51"/>
      <c r="H897" s="51"/>
    </row>
    <row r="898" spans="2:8" ht="15.75" customHeight="1" x14ac:dyDescent="0.25">
      <c r="B898" s="51"/>
      <c r="C898" s="51"/>
      <c r="D898" s="51"/>
      <c r="E898" s="51"/>
      <c r="F898" s="51"/>
      <c r="G898" s="51"/>
      <c r="H898" s="51"/>
    </row>
    <row r="899" spans="2:8" ht="15.75" customHeight="1" x14ac:dyDescent="0.25">
      <c r="B899" s="51"/>
      <c r="C899" s="51"/>
      <c r="D899" s="51"/>
      <c r="E899" s="51"/>
      <c r="F899" s="51"/>
      <c r="G899" s="51"/>
      <c r="H899" s="51"/>
    </row>
    <row r="900" spans="2:8" ht="15.75" customHeight="1" x14ac:dyDescent="0.25">
      <c r="B900" s="51"/>
      <c r="C900" s="51"/>
      <c r="D900" s="51"/>
      <c r="E900" s="51"/>
      <c r="F900" s="51"/>
      <c r="G900" s="51"/>
      <c r="H900" s="51"/>
    </row>
    <row r="901" spans="2:8" ht="15.75" customHeight="1" x14ac:dyDescent="0.25">
      <c r="B901" s="51"/>
      <c r="C901" s="51"/>
      <c r="D901" s="51"/>
      <c r="E901" s="51"/>
      <c r="F901" s="51"/>
      <c r="G901" s="51"/>
      <c r="H901" s="51"/>
    </row>
    <row r="902" spans="2:8" ht="15.75" customHeight="1" x14ac:dyDescent="0.25">
      <c r="B902" s="51"/>
      <c r="C902" s="51"/>
      <c r="D902" s="51"/>
      <c r="E902" s="51"/>
      <c r="F902" s="51"/>
      <c r="G902" s="51"/>
      <c r="H902" s="51"/>
    </row>
    <row r="903" spans="2:8" ht="15.75" customHeight="1" x14ac:dyDescent="0.25">
      <c r="B903" s="51"/>
      <c r="C903" s="51"/>
      <c r="D903" s="51"/>
      <c r="E903" s="51"/>
      <c r="F903" s="51"/>
      <c r="G903" s="51"/>
      <c r="H903" s="51"/>
    </row>
    <row r="904" spans="2:8" ht="15.75" customHeight="1" x14ac:dyDescent="0.25">
      <c r="B904" s="51"/>
      <c r="C904" s="51"/>
      <c r="D904" s="51"/>
      <c r="E904" s="51"/>
      <c r="F904" s="51"/>
      <c r="G904" s="51"/>
      <c r="H904" s="51"/>
    </row>
    <row r="905" spans="2:8" ht="15.75" customHeight="1" x14ac:dyDescent="0.25">
      <c r="B905" s="51"/>
      <c r="C905" s="51"/>
      <c r="D905" s="51"/>
      <c r="E905" s="51"/>
      <c r="F905" s="51"/>
      <c r="G905" s="51"/>
      <c r="H905" s="51"/>
    </row>
    <row r="906" spans="2:8" ht="15.75" customHeight="1" x14ac:dyDescent="0.25">
      <c r="B906" s="51"/>
      <c r="C906" s="51"/>
      <c r="D906" s="51"/>
      <c r="E906" s="51"/>
      <c r="F906" s="51"/>
      <c r="G906" s="51"/>
      <c r="H906" s="51"/>
    </row>
    <row r="907" spans="2:8" ht="15.75" customHeight="1" x14ac:dyDescent="0.25">
      <c r="B907" s="51"/>
      <c r="C907" s="51"/>
      <c r="D907" s="51"/>
      <c r="E907" s="51"/>
      <c r="F907" s="51"/>
      <c r="G907" s="51"/>
      <c r="H907" s="51"/>
    </row>
    <row r="908" spans="2:8" ht="15.75" customHeight="1" x14ac:dyDescent="0.25">
      <c r="B908" s="51"/>
      <c r="C908" s="51"/>
      <c r="D908" s="51"/>
      <c r="E908" s="51"/>
      <c r="F908" s="51"/>
      <c r="G908" s="51"/>
      <c r="H908" s="51"/>
    </row>
    <row r="909" spans="2:8" ht="15.75" customHeight="1" x14ac:dyDescent="0.25">
      <c r="B909" s="51"/>
      <c r="C909" s="51"/>
      <c r="D909" s="51"/>
      <c r="E909" s="51"/>
      <c r="F909" s="51"/>
      <c r="G909" s="51"/>
      <c r="H909" s="51"/>
    </row>
    <row r="910" spans="2:8" ht="15.75" customHeight="1" x14ac:dyDescent="0.25">
      <c r="B910" s="51"/>
      <c r="C910" s="51"/>
      <c r="D910" s="51"/>
      <c r="E910" s="51"/>
      <c r="F910" s="51"/>
      <c r="G910" s="51"/>
      <c r="H910" s="51"/>
    </row>
    <row r="911" spans="2:8" ht="15.75" customHeight="1" x14ac:dyDescent="0.25">
      <c r="B911" s="51"/>
      <c r="C911" s="51"/>
      <c r="D911" s="51"/>
      <c r="E911" s="51"/>
      <c r="F911" s="51"/>
      <c r="G911" s="51"/>
      <c r="H911" s="51"/>
    </row>
    <row r="912" spans="2:8" ht="15.75" customHeight="1" x14ac:dyDescent="0.25">
      <c r="B912" s="51"/>
      <c r="C912" s="51"/>
      <c r="D912" s="51"/>
      <c r="E912" s="51"/>
      <c r="F912" s="51"/>
      <c r="G912" s="51"/>
      <c r="H912" s="51"/>
    </row>
    <row r="913" spans="2:8" ht="15.75" customHeight="1" x14ac:dyDescent="0.25">
      <c r="B913" s="51"/>
      <c r="C913" s="51"/>
      <c r="D913" s="51"/>
      <c r="E913" s="51"/>
      <c r="F913" s="51"/>
      <c r="G913" s="51"/>
      <c r="H913" s="51"/>
    </row>
    <row r="914" spans="2:8" ht="15.75" customHeight="1" x14ac:dyDescent="0.25">
      <c r="B914" s="51"/>
      <c r="C914" s="51"/>
      <c r="D914" s="51"/>
      <c r="E914" s="51"/>
      <c r="F914" s="51"/>
      <c r="G914" s="51"/>
      <c r="H914" s="51"/>
    </row>
    <row r="915" spans="2:8" ht="15.75" customHeight="1" x14ac:dyDescent="0.25">
      <c r="B915" s="51"/>
      <c r="C915" s="51"/>
      <c r="D915" s="51"/>
      <c r="E915" s="51"/>
      <c r="F915" s="51"/>
      <c r="G915" s="51"/>
      <c r="H915" s="51"/>
    </row>
    <row r="916" spans="2:8" ht="15.75" customHeight="1" x14ac:dyDescent="0.25">
      <c r="B916" s="51"/>
      <c r="C916" s="51"/>
      <c r="D916" s="51"/>
      <c r="E916" s="51"/>
      <c r="F916" s="51"/>
      <c r="G916" s="51"/>
      <c r="H916" s="51"/>
    </row>
    <row r="917" spans="2:8" ht="15.75" customHeight="1" x14ac:dyDescent="0.25">
      <c r="B917" s="51"/>
      <c r="C917" s="51"/>
      <c r="D917" s="51"/>
      <c r="E917" s="51"/>
      <c r="F917" s="51"/>
      <c r="G917" s="51"/>
      <c r="H917" s="51"/>
    </row>
    <row r="918" spans="2:8" ht="15.75" customHeight="1" x14ac:dyDescent="0.25">
      <c r="B918" s="51"/>
      <c r="C918" s="51"/>
      <c r="D918" s="51"/>
      <c r="E918" s="51"/>
      <c r="F918" s="51"/>
      <c r="G918" s="51"/>
      <c r="H918" s="51"/>
    </row>
    <row r="919" spans="2:8" ht="15.75" customHeight="1" x14ac:dyDescent="0.25">
      <c r="B919" s="51"/>
      <c r="C919" s="51"/>
      <c r="D919" s="51"/>
      <c r="E919" s="51"/>
      <c r="F919" s="51"/>
      <c r="G919" s="51"/>
      <c r="H919" s="51"/>
    </row>
    <row r="920" spans="2:8" ht="15.75" customHeight="1" x14ac:dyDescent="0.25">
      <c r="B920" s="51"/>
      <c r="C920" s="51"/>
      <c r="D920" s="51"/>
      <c r="E920" s="51"/>
      <c r="F920" s="51"/>
      <c r="G920" s="51"/>
      <c r="H920" s="51"/>
    </row>
    <row r="921" spans="2:8" ht="15.75" customHeight="1" x14ac:dyDescent="0.25">
      <c r="B921" s="51"/>
      <c r="C921" s="51"/>
      <c r="D921" s="51"/>
      <c r="E921" s="51"/>
      <c r="F921" s="51"/>
      <c r="G921" s="51"/>
      <c r="H921" s="51"/>
    </row>
    <row r="922" spans="2:8" ht="15.75" customHeight="1" x14ac:dyDescent="0.25">
      <c r="B922" s="51"/>
      <c r="C922" s="51"/>
      <c r="D922" s="51"/>
      <c r="E922" s="51"/>
      <c r="F922" s="51"/>
      <c r="G922" s="51"/>
      <c r="H922" s="51"/>
    </row>
    <row r="923" spans="2:8" ht="15.75" customHeight="1" x14ac:dyDescent="0.25">
      <c r="B923" s="51"/>
      <c r="C923" s="51"/>
      <c r="D923" s="51"/>
      <c r="E923" s="51"/>
      <c r="F923" s="51"/>
      <c r="G923" s="51"/>
      <c r="H923" s="51"/>
    </row>
    <row r="924" spans="2:8" ht="15.75" customHeight="1" x14ac:dyDescent="0.25">
      <c r="B924" s="51"/>
      <c r="C924" s="51"/>
      <c r="D924" s="51"/>
      <c r="E924" s="51"/>
      <c r="F924" s="51"/>
      <c r="G924" s="51"/>
      <c r="H924" s="51"/>
    </row>
    <row r="925" spans="2:8" ht="15.75" customHeight="1" x14ac:dyDescent="0.25">
      <c r="B925" s="51"/>
      <c r="C925" s="51"/>
      <c r="D925" s="51"/>
      <c r="E925" s="51"/>
      <c r="F925" s="51"/>
      <c r="G925" s="51"/>
      <c r="H925" s="51"/>
    </row>
    <row r="926" spans="2:8" ht="15.75" customHeight="1" x14ac:dyDescent="0.25">
      <c r="B926" s="51"/>
      <c r="C926" s="51"/>
      <c r="D926" s="51"/>
      <c r="E926" s="51"/>
      <c r="F926" s="51"/>
      <c r="G926" s="51"/>
      <c r="H926" s="51"/>
    </row>
    <row r="927" spans="2:8" ht="15.75" customHeight="1" x14ac:dyDescent="0.25">
      <c r="B927" s="51"/>
      <c r="C927" s="51"/>
      <c r="D927" s="51"/>
      <c r="E927" s="51"/>
      <c r="F927" s="51"/>
      <c r="G927" s="51"/>
      <c r="H927" s="51"/>
    </row>
    <row r="928" spans="2:8" ht="15.75" customHeight="1" x14ac:dyDescent="0.25">
      <c r="B928" s="51"/>
      <c r="C928" s="51"/>
      <c r="D928" s="51"/>
      <c r="E928" s="51"/>
      <c r="F928" s="51"/>
      <c r="G928" s="51"/>
      <c r="H928" s="51"/>
    </row>
    <row r="929" spans="2:8" ht="15.75" customHeight="1" x14ac:dyDescent="0.25">
      <c r="B929" s="51"/>
      <c r="C929" s="51"/>
      <c r="D929" s="51"/>
      <c r="E929" s="51"/>
      <c r="F929" s="51"/>
      <c r="G929" s="51"/>
      <c r="H929" s="51"/>
    </row>
    <row r="930" spans="2:8" ht="15.75" customHeight="1" x14ac:dyDescent="0.25">
      <c r="B930" s="51"/>
      <c r="C930" s="51"/>
      <c r="D930" s="51"/>
      <c r="E930" s="51"/>
      <c r="F930" s="51"/>
      <c r="G930" s="51"/>
      <c r="H930" s="51"/>
    </row>
    <row r="931" spans="2:8" ht="15.75" customHeight="1" x14ac:dyDescent="0.25">
      <c r="B931" s="51"/>
      <c r="C931" s="51"/>
      <c r="D931" s="51"/>
      <c r="E931" s="51"/>
      <c r="F931" s="51"/>
      <c r="G931" s="51"/>
      <c r="H931" s="51"/>
    </row>
    <row r="932" spans="2:8" ht="15.75" customHeight="1" x14ac:dyDescent="0.25">
      <c r="B932" s="51"/>
      <c r="C932" s="51"/>
      <c r="D932" s="51"/>
      <c r="E932" s="51"/>
      <c r="F932" s="51"/>
      <c r="G932" s="51"/>
      <c r="H932" s="51"/>
    </row>
    <row r="933" spans="2:8" ht="15.75" customHeight="1" x14ac:dyDescent="0.25">
      <c r="B933" s="51"/>
      <c r="C933" s="51"/>
      <c r="D933" s="51"/>
      <c r="E933" s="51"/>
      <c r="F933" s="51"/>
      <c r="G933" s="51"/>
      <c r="H933" s="51"/>
    </row>
    <row r="934" spans="2:8" ht="15.75" customHeight="1" x14ac:dyDescent="0.25">
      <c r="B934" s="51"/>
      <c r="C934" s="51"/>
      <c r="D934" s="51"/>
      <c r="E934" s="51"/>
      <c r="F934" s="51"/>
      <c r="G934" s="51"/>
      <c r="H934" s="51"/>
    </row>
    <row r="935" spans="2:8" ht="15.75" customHeight="1" x14ac:dyDescent="0.25">
      <c r="B935" s="51"/>
      <c r="C935" s="51"/>
      <c r="D935" s="51"/>
      <c r="E935" s="51"/>
      <c r="F935" s="51"/>
      <c r="G935" s="51"/>
      <c r="H935" s="51"/>
    </row>
    <row r="936" spans="2:8" ht="15.75" customHeight="1" x14ac:dyDescent="0.25">
      <c r="B936" s="51"/>
      <c r="C936" s="51"/>
      <c r="D936" s="51"/>
      <c r="E936" s="51"/>
      <c r="F936" s="51"/>
      <c r="G936" s="51"/>
      <c r="H936" s="51"/>
    </row>
    <row r="937" spans="2:8" ht="15.75" customHeight="1" x14ac:dyDescent="0.25">
      <c r="B937" s="51"/>
      <c r="C937" s="51"/>
      <c r="D937" s="51"/>
      <c r="E937" s="51"/>
      <c r="F937" s="51"/>
      <c r="G937" s="51"/>
      <c r="H937" s="51"/>
    </row>
    <row r="938" spans="2:8" ht="15.75" customHeight="1" x14ac:dyDescent="0.25">
      <c r="B938" s="51"/>
      <c r="C938" s="51"/>
      <c r="D938" s="51"/>
      <c r="E938" s="51"/>
      <c r="F938" s="51"/>
      <c r="G938" s="51"/>
      <c r="H938" s="51"/>
    </row>
    <row r="939" spans="2:8" ht="15.75" customHeight="1" x14ac:dyDescent="0.25">
      <c r="B939" s="51"/>
      <c r="C939" s="51"/>
      <c r="D939" s="51"/>
      <c r="E939" s="51"/>
      <c r="F939" s="51"/>
      <c r="G939" s="51"/>
      <c r="H939" s="51"/>
    </row>
    <row r="940" spans="2:8" ht="15.75" customHeight="1" x14ac:dyDescent="0.25">
      <c r="B940" s="51"/>
      <c r="C940" s="51"/>
      <c r="D940" s="51"/>
      <c r="E940" s="51"/>
      <c r="F940" s="51"/>
      <c r="G940" s="51"/>
      <c r="H940" s="51"/>
    </row>
    <row r="941" spans="2:8" ht="15.75" customHeight="1" x14ac:dyDescent="0.25">
      <c r="B941" s="51"/>
      <c r="C941" s="51"/>
      <c r="D941" s="51"/>
      <c r="E941" s="51"/>
      <c r="F941" s="51"/>
      <c r="G941" s="51"/>
      <c r="H941" s="51"/>
    </row>
    <row r="942" spans="2:8" ht="15.75" customHeight="1" x14ac:dyDescent="0.25">
      <c r="B942" s="51"/>
      <c r="C942" s="51"/>
      <c r="D942" s="51"/>
      <c r="E942" s="51"/>
      <c r="F942" s="51"/>
      <c r="G942" s="51"/>
      <c r="H942" s="51"/>
    </row>
    <row r="943" spans="2:8" ht="15.75" customHeight="1" x14ac:dyDescent="0.25">
      <c r="B943" s="51"/>
      <c r="C943" s="51"/>
      <c r="D943" s="51"/>
      <c r="E943" s="51"/>
      <c r="F943" s="51"/>
      <c r="G943" s="51"/>
      <c r="H943" s="51"/>
    </row>
    <row r="944" spans="2:8" ht="15.75" customHeight="1" x14ac:dyDescent="0.25">
      <c r="B944" s="51"/>
      <c r="C944" s="51"/>
      <c r="D944" s="51"/>
      <c r="E944" s="51"/>
      <c r="F944" s="51"/>
      <c r="G944" s="51"/>
      <c r="H944" s="51"/>
    </row>
    <row r="945" spans="2:8" ht="15.75" customHeight="1" x14ac:dyDescent="0.25">
      <c r="B945" s="51"/>
      <c r="C945" s="51"/>
      <c r="D945" s="51"/>
      <c r="E945" s="51"/>
      <c r="F945" s="51"/>
      <c r="G945" s="51"/>
      <c r="H945" s="51"/>
    </row>
    <row r="946" spans="2:8" ht="15.75" customHeight="1" x14ac:dyDescent="0.25">
      <c r="B946" s="51"/>
      <c r="C946" s="51"/>
      <c r="D946" s="51"/>
      <c r="E946" s="51"/>
      <c r="F946" s="51"/>
      <c r="G946" s="51"/>
      <c r="H946" s="51"/>
    </row>
    <row r="947" spans="2:8" ht="15.75" customHeight="1" x14ac:dyDescent="0.25">
      <c r="B947" s="51"/>
      <c r="C947" s="51"/>
      <c r="D947" s="51"/>
      <c r="E947" s="51"/>
      <c r="F947" s="51"/>
      <c r="G947" s="51"/>
      <c r="H947" s="51"/>
    </row>
    <row r="948" spans="2:8" ht="15.75" customHeight="1" x14ac:dyDescent="0.25">
      <c r="B948" s="51"/>
      <c r="C948" s="51"/>
      <c r="D948" s="51"/>
      <c r="E948" s="51"/>
      <c r="F948" s="51"/>
      <c r="G948" s="51"/>
      <c r="H948" s="51"/>
    </row>
    <row r="949" spans="2:8" ht="15.75" customHeight="1" x14ac:dyDescent="0.25">
      <c r="B949" s="51"/>
      <c r="C949" s="51"/>
      <c r="D949" s="51"/>
      <c r="E949" s="51"/>
      <c r="F949" s="51"/>
      <c r="G949" s="51"/>
      <c r="H949" s="51"/>
    </row>
    <row r="950" spans="2:8" ht="15.75" customHeight="1" x14ac:dyDescent="0.25">
      <c r="B950" s="51"/>
      <c r="C950" s="51"/>
      <c r="D950" s="51"/>
      <c r="E950" s="51"/>
      <c r="F950" s="51"/>
      <c r="G950" s="51"/>
      <c r="H950" s="51"/>
    </row>
    <row r="951" spans="2:8" ht="15.75" customHeight="1" x14ac:dyDescent="0.25">
      <c r="B951" s="51"/>
      <c r="C951" s="51"/>
      <c r="D951" s="51"/>
      <c r="E951" s="51"/>
      <c r="F951" s="51"/>
      <c r="G951" s="51"/>
      <c r="H951" s="51"/>
    </row>
    <row r="952" spans="2:8" ht="15.75" customHeight="1" x14ac:dyDescent="0.25">
      <c r="B952" s="51"/>
      <c r="C952" s="51"/>
      <c r="D952" s="51"/>
      <c r="E952" s="51"/>
      <c r="F952" s="51"/>
      <c r="G952" s="51"/>
      <c r="H952" s="51"/>
    </row>
    <row r="953" spans="2:8" ht="15.75" customHeight="1" x14ac:dyDescent="0.25">
      <c r="B953" s="51"/>
      <c r="C953" s="51"/>
      <c r="D953" s="51"/>
      <c r="E953" s="51"/>
      <c r="F953" s="51"/>
      <c r="G953" s="51"/>
      <c r="H953" s="51"/>
    </row>
    <row r="954" spans="2:8" ht="15.75" customHeight="1" x14ac:dyDescent="0.25">
      <c r="B954" s="51"/>
      <c r="C954" s="51"/>
      <c r="D954" s="51"/>
      <c r="E954" s="51"/>
      <c r="F954" s="51"/>
      <c r="G954" s="51"/>
      <c r="H954" s="51"/>
    </row>
    <row r="955" spans="2:8" ht="15.75" customHeight="1" x14ac:dyDescent="0.25">
      <c r="B955" s="51"/>
      <c r="C955" s="51"/>
      <c r="D955" s="51"/>
      <c r="E955" s="51"/>
      <c r="F955" s="51"/>
      <c r="G955" s="51"/>
      <c r="H955" s="51"/>
    </row>
    <row r="956" spans="2:8" ht="15.75" customHeight="1" x14ac:dyDescent="0.25">
      <c r="B956" s="51"/>
      <c r="C956" s="51"/>
      <c r="D956" s="51"/>
      <c r="E956" s="51"/>
      <c r="F956" s="51"/>
      <c r="G956" s="51"/>
      <c r="H956" s="51"/>
    </row>
    <row r="957" spans="2:8" ht="15.75" customHeight="1" x14ac:dyDescent="0.25">
      <c r="B957" s="51"/>
      <c r="C957" s="51"/>
      <c r="D957" s="51"/>
      <c r="E957" s="51"/>
      <c r="F957" s="51"/>
      <c r="G957" s="51"/>
      <c r="H957" s="51"/>
    </row>
    <row r="958" spans="2:8" ht="15.75" customHeight="1" x14ac:dyDescent="0.25">
      <c r="B958" s="51"/>
      <c r="C958" s="51"/>
      <c r="D958" s="51"/>
      <c r="E958" s="51"/>
      <c r="F958" s="51"/>
      <c r="G958" s="51"/>
      <c r="H958" s="51"/>
    </row>
    <row r="959" spans="2:8" ht="15.75" customHeight="1" x14ac:dyDescent="0.25">
      <c r="B959" s="51"/>
      <c r="C959" s="51"/>
      <c r="D959" s="51"/>
      <c r="E959" s="51"/>
      <c r="F959" s="51"/>
      <c r="G959" s="51"/>
      <c r="H959" s="51"/>
    </row>
    <row r="960" spans="2:8" ht="15.75" customHeight="1" x14ac:dyDescent="0.25">
      <c r="B960" s="51"/>
      <c r="C960" s="51"/>
      <c r="D960" s="51"/>
      <c r="E960" s="51"/>
      <c r="F960" s="51"/>
      <c r="G960" s="51"/>
      <c r="H960" s="51"/>
    </row>
    <row r="961" spans="2:8" ht="15.75" customHeight="1" x14ac:dyDescent="0.25">
      <c r="B961" s="51"/>
      <c r="C961" s="51"/>
      <c r="D961" s="51"/>
      <c r="E961" s="51"/>
      <c r="F961" s="51"/>
      <c r="G961" s="51"/>
      <c r="H961" s="51"/>
    </row>
    <row r="962" spans="2:8" ht="15.75" customHeight="1" x14ac:dyDescent="0.25">
      <c r="B962" s="51"/>
      <c r="C962" s="51"/>
      <c r="D962" s="51"/>
      <c r="E962" s="51"/>
      <c r="F962" s="51"/>
      <c r="G962" s="51"/>
      <c r="H962" s="51"/>
    </row>
    <row r="963" spans="2:8" ht="15.75" customHeight="1" x14ac:dyDescent="0.25">
      <c r="B963" s="51"/>
      <c r="C963" s="51"/>
      <c r="D963" s="51"/>
      <c r="E963" s="51"/>
      <c r="F963" s="51"/>
      <c r="G963" s="51"/>
      <c r="H963" s="51"/>
    </row>
    <row r="964" spans="2:8" ht="15.75" customHeight="1" x14ac:dyDescent="0.25">
      <c r="B964" s="51"/>
      <c r="C964" s="51"/>
      <c r="D964" s="51"/>
      <c r="E964" s="51"/>
      <c r="F964" s="51"/>
      <c r="G964" s="51"/>
      <c r="H964" s="51"/>
    </row>
    <row r="965" spans="2:8" ht="15.75" customHeight="1" x14ac:dyDescent="0.25">
      <c r="B965" s="51"/>
      <c r="C965" s="51"/>
      <c r="D965" s="51"/>
      <c r="E965" s="51"/>
      <c r="F965" s="51"/>
      <c r="G965" s="51"/>
      <c r="H965" s="51"/>
    </row>
    <row r="966" spans="2:8" ht="15.75" customHeight="1" x14ac:dyDescent="0.25">
      <c r="B966" s="51"/>
      <c r="C966" s="51"/>
      <c r="D966" s="51"/>
      <c r="E966" s="51"/>
      <c r="F966" s="51"/>
      <c r="G966" s="51"/>
      <c r="H966" s="51"/>
    </row>
    <row r="967" spans="2:8" ht="15.75" customHeight="1" x14ac:dyDescent="0.25">
      <c r="B967" s="51"/>
      <c r="C967" s="51"/>
      <c r="D967" s="51"/>
      <c r="E967" s="51"/>
      <c r="F967" s="51"/>
      <c r="G967" s="51"/>
      <c r="H967" s="51"/>
    </row>
    <row r="968" spans="2:8" ht="15.75" customHeight="1" x14ac:dyDescent="0.25">
      <c r="B968" s="51"/>
      <c r="C968" s="51"/>
      <c r="D968" s="51"/>
      <c r="E968" s="51"/>
      <c r="F968" s="51"/>
      <c r="G968" s="51"/>
      <c r="H968" s="51"/>
    </row>
    <row r="969" spans="2:8" ht="15.75" customHeight="1" x14ac:dyDescent="0.25">
      <c r="B969" s="51"/>
      <c r="C969" s="51"/>
      <c r="D969" s="51"/>
      <c r="E969" s="51"/>
      <c r="F969" s="51"/>
      <c r="G969" s="51"/>
      <c r="H969" s="51"/>
    </row>
    <row r="970" spans="2:8" ht="15.75" customHeight="1" x14ac:dyDescent="0.25">
      <c r="B970" s="51"/>
      <c r="C970" s="51"/>
      <c r="D970" s="51"/>
      <c r="E970" s="51"/>
      <c r="F970" s="51"/>
      <c r="G970" s="51"/>
      <c r="H970" s="51"/>
    </row>
    <row r="971" spans="2:8" ht="15.75" customHeight="1" x14ac:dyDescent="0.25">
      <c r="B971" s="51"/>
      <c r="C971" s="51"/>
      <c r="D971" s="51"/>
      <c r="E971" s="51"/>
      <c r="F971" s="51"/>
      <c r="G971" s="51"/>
      <c r="H971" s="51"/>
    </row>
    <row r="972" spans="2:8" ht="15.75" customHeight="1" x14ac:dyDescent="0.25">
      <c r="B972" s="51"/>
      <c r="C972" s="51"/>
      <c r="D972" s="51"/>
      <c r="E972" s="51"/>
      <c r="F972" s="51"/>
      <c r="G972" s="51"/>
      <c r="H972" s="51"/>
    </row>
    <row r="973" spans="2:8" ht="15.75" customHeight="1" x14ac:dyDescent="0.25">
      <c r="B973" s="51"/>
      <c r="C973" s="51"/>
      <c r="D973" s="51"/>
      <c r="E973" s="51"/>
      <c r="F973" s="51"/>
      <c r="G973" s="51"/>
      <c r="H973" s="51"/>
    </row>
    <row r="974" spans="2:8" ht="15.75" customHeight="1" x14ac:dyDescent="0.25">
      <c r="B974" s="51"/>
      <c r="C974" s="51"/>
      <c r="D974" s="51"/>
      <c r="E974" s="51"/>
      <c r="F974" s="51"/>
      <c r="G974" s="51"/>
      <c r="H974" s="51"/>
    </row>
    <row r="975" spans="2:8" ht="15.75" customHeight="1" x14ac:dyDescent="0.25">
      <c r="B975" s="51"/>
      <c r="C975" s="51"/>
      <c r="D975" s="51"/>
      <c r="E975" s="51"/>
      <c r="F975" s="51"/>
      <c r="G975" s="51"/>
      <c r="H975" s="51"/>
    </row>
    <row r="976" spans="2:8" ht="15.75" customHeight="1" x14ac:dyDescent="0.25">
      <c r="B976" s="51"/>
      <c r="C976" s="51"/>
      <c r="D976" s="51"/>
      <c r="E976" s="51"/>
      <c r="F976" s="51"/>
      <c r="G976" s="51"/>
      <c r="H976" s="51"/>
    </row>
    <row r="977" spans="2:8" ht="15.75" customHeight="1" x14ac:dyDescent="0.25">
      <c r="B977" s="51"/>
      <c r="C977" s="51"/>
      <c r="D977" s="51"/>
      <c r="E977" s="51"/>
      <c r="F977" s="51"/>
      <c r="G977" s="51"/>
      <c r="H977" s="51"/>
    </row>
    <row r="978" spans="2:8" ht="15.75" customHeight="1" x14ac:dyDescent="0.25">
      <c r="B978" s="51"/>
      <c r="C978" s="51"/>
      <c r="D978" s="51"/>
      <c r="E978" s="51"/>
      <c r="F978" s="51"/>
      <c r="G978" s="51"/>
      <c r="H978" s="51"/>
    </row>
    <row r="979" spans="2:8" ht="15.75" customHeight="1" x14ac:dyDescent="0.25">
      <c r="B979" s="51"/>
      <c r="C979" s="51"/>
      <c r="D979" s="51"/>
      <c r="E979" s="51"/>
      <c r="F979" s="51"/>
      <c r="G979" s="51"/>
      <c r="H979" s="51"/>
    </row>
    <row r="980" spans="2:8" ht="15.75" customHeight="1" x14ac:dyDescent="0.25">
      <c r="B980" s="51"/>
      <c r="C980" s="51"/>
      <c r="D980" s="51"/>
      <c r="E980" s="51"/>
      <c r="F980" s="51"/>
      <c r="G980" s="51"/>
      <c r="H980" s="51"/>
    </row>
    <row r="981" spans="2:8" ht="15.75" customHeight="1" x14ac:dyDescent="0.25">
      <c r="B981" s="51"/>
      <c r="C981" s="51"/>
      <c r="D981" s="51"/>
      <c r="E981" s="51"/>
      <c r="F981" s="51"/>
      <c r="G981" s="51"/>
      <c r="H981" s="51"/>
    </row>
    <row r="982" spans="2:8" ht="15.75" customHeight="1" x14ac:dyDescent="0.25">
      <c r="B982" s="51"/>
      <c r="C982" s="51"/>
      <c r="D982" s="51"/>
      <c r="E982" s="51"/>
      <c r="F982" s="51"/>
      <c r="G982" s="51"/>
      <c r="H982" s="51"/>
    </row>
    <row r="983" spans="2:8" ht="15.75" customHeight="1" x14ac:dyDescent="0.25">
      <c r="B983" s="51"/>
      <c r="C983" s="51"/>
      <c r="D983" s="51"/>
      <c r="E983" s="51"/>
      <c r="F983" s="51"/>
      <c r="G983" s="51"/>
      <c r="H983" s="51"/>
    </row>
    <row r="984" spans="2:8" ht="15.75" customHeight="1" x14ac:dyDescent="0.25">
      <c r="B984" s="51"/>
      <c r="C984" s="51"/>
      <c r="D984" s="51"/>
      <c r="E984" s="51"/>
      <c r="F984" s="51"/>
      <c r="G984" s="51"/>
      <c r="H984" s="51"/>
    </row>
    <row r="985" spans="2:8" ht="15.75" customHeight="1" x14ac:dyDescent="0.25">
      <c r="B985" s="51"/>
      <c r="C985" s="51"/>
      <c r="D985" s="51"/>
      <c r="E985" s="51"/>
      <c r="F985" s="51"/>
      <c r="G985" s="51"/>
      <c r="H985" s="51"/>
    </row>
    <row r="986" spans="2:8" ht="15.75" customHeight="1" x14ac:dyDescent="0.25">
      <c r="B986" s="51"/>
      <c r="C986" s="51"/>
      <c r="D986" s="51"/>
      <c r="E986" s="51"/>
      <c r="F986" s="51"/>
      <c r="G986" s="51"/>
      <c r="H986" s="51"/>
    </row>
    <row r="987" spans="2:8" ht="15.75" customHeight="1" x14ac:dyDescent="0.25">
      <c r="B987" s="51"/>
      <c r="C987" s="51"/>
      <c r="D987" s="51"/>
      <c r="E987" s="51"/>
      <c r="F987" s="51"/>
      <c r="G987" s="51"/>
      <c r="H987" s="51"/>
    </row>
    <row r="988" spans="2:8" ht="15.75" customHeight="1" x14ac:dyDescent="0.25">
      <c r="B988" s="51"/>
      <c r="C988" s="51"/>
      <c r="D988" s="51"/>
      <c r="E988" s="51"/>
      <c r="F988" s="51"/>
      <c r="G988" s="51"/>
      <c r="H988" s="51"/>
    </row>
    <row r="989" spans="2:8" ht="15.75" customHeight="1" x14ac:dyDescent="0.25">
      <c r="B989" s="51"/>
      <c r="C989" s="51"/>
      <c r="D989" s="51"/>
      <c r="E989" s="51"/>
      <c r="F989" s="51"/>
      <c r="G989" s="51"/>
      <c r="H989" s="51"/>
    </row>
    <row r="990" spans="2:8" ht="15.75" customHeight="1" x14ac:dyDescent="0.25">
      <c r="B990" s="51"/>
      <c r="C990" s="51"/>
      <c r="D990" s="51"/>
      <c r="E990" s="51"/>
      <c r="F990" s="51"/>
      <c r="G990" s="51"/>
      <c r="H990" s="51"/>
    </row>
    <row r="991" spans="2:8" ht="15.75" customHeight="1" x14ac:dyDescent="0.25">
      <c r="B991" s="51"/>
      <c r="C991" s="51"/>
      <c r="D991" s="51"/>
      <c r="E991" s="51"/>
      <c r="F991" s="51"/>
      <c r="G991" s="51"/>
      <c r="H991" s="51"/>
    </row>
    <row r="992" spans="2:8" ht="15.75" customHeight="1" x14ac:dyDescent="0.25">
      <c r="B992" s="51"/>
      <c r="C992" s="51"/>
      <c r="D992" s="51"/>
      <c r="E992" s="51"/>
      <c r="F992" s="51"/>
      <c r="G992" s="51"/>
      <c r="H992" s="51"/>
    </row>
    <row r="993" spans="2:8" ht="15.75" customHeight="1" x14ac:dyDescent="0.25">
      <c r="B993" s="51"/>
      <c r="C993" s="51"/>
      <c r="D993" s="51"/>
      <c r="E993" s="51"/>
      <c r="F993" s="51"/>
      <c r="G993" s="51"/>
      <c r="H993" s="51"/>
    </row>
    <row r="994" spans="2:8" ht="15.75" customHeight="1" x14ac:dyDescent="0.25">
      <c r="B994" s="51"/>
      <c r="C994" s="51"/>
      <c r="D994" s="51"/>
      <c r="E994" s="51"/>
      <c r="F994" s="51"/>
      <c r="G994" s="51"/>
      <c r="H994" s="51"/>
    </row>
    <row r="995" spans="2:8" ht="15.75" customHeight="1" x14ac:dyDescent="0.25">
      <c r="B995" s="51"/>
      <c r="C995" s="51"/>
      <c r="D995" s="51"/>
      <c r="E995" s="51"/>
      <c r="F995" s="51"/>
      <c r="G995" s="51"/>
      <c r="H995" s="51"/>
    </row>
    <row r="996" spans="2:8" ht="15.75" customHeight="1" x14ac:dyDescent="0.25">
      <c r="B996" s="51"/>
      <c r="C996" s="51"/>
      <c r="D996" s="51"/>
      <c r="E996" s="51"/>
      <c r="F996" s="51"/>
      <c r="G996" s="51"/>
      <c r="H996" s="51"/>
    </row>
    <row r="997" spans="2:8" ht="15.75" customHeight="1" x14ac:dyDescent="0.25">
      <c r="B997" s="51"/>
      <c r="C997" s="51"/>
      <c r="D997" s="51"/>
      <c r="E997" s="51"/>
      <c r="F997" s="51"/>
      <c r="G997" s="51"/>
      <c r="H997" s="51"/>
    </row>
    <row r="998" spans="2:8" ht="15.75" customHeight="1" x14ac:dyDescent="0.25">
      <c r="B998" s="51"/>
      <c r="C998" s="51"/>
      <c r="D998" s="51"/>
      <c r="E998" s="51"/>
      <c r="F998" s="51"/>
      <c r="G998" s="51"/>
      <c r="H998" s="51"/>
    </row>
    <row r="999" spans="2:8" ht="15.75" customHeight="1" x14ac:dyDescent="0.25">
      <c r="B999" s="51"/>
      <c r="C999" s="51"/>
      <c r="D999" s="51"/>
      <c r="E999" s="51"/>
      <c r="F999" s="51"/>
      <c r="G999" s="51"/>
      <c r="H999" s="51"/>
    </row>
    <row r="1000" spans="2:8" ht="15.75" customHeight="1" x14ac:dyDescent="0.25">
      <c r="B1000" s="51"/>
      <c r="C1000" s="51"/>
      <c r="D1000" s="51"/>
      <c r="E1000" s="51"/>
      <c r="F1000" s="51"/>
      <c r="G1000" s="51"/>
      <c r="H1000" s="51"/>
    </row>
    <row r="1001" spans="2:8" ht="15.75" customHeight="1" x14ac:dyDescent="0.25">
      <c r="B1001" s="51"/>
      <c r="C1001" s="51"/>
      <c r="D1001" s="51"/>
      <c r="E1001" s="51"/>
      <c r="F1001" s="51"/>
      <c r="G1001" s="51"/>
      <c r="H1001" s="51"/>
    </row>
    <row r="1002" spans="2:8" ht="15.75" customHeight="1" x14ac:dyDescent="0.25">
      <c r="B1002" s="51"/>
      <c r="C1002" s="51"/>
      <c r="D1002" s="51"/>
      <c r="E1002" s="51"/>
      <c r="F1002" s="51"/>
      <c r="G1002" s="51"/>
      <c r="H1002" s="51"/>
    </row>
    <row r="1003" spans="2:8" ht="15.75" customHeight="1" x14ac:dyDescent="0.25">
      <c r="B1003" s="51"/>
      <c r="C1003" s="51"/>
      <c r="D1003" s="51"/>
      <c r="E1003" s="51"/>
      <c r="F1003" s="51"/>
      <c r="G1003" s="51"/>
      <c r="H1003" s="51"/>
    </row>
    <row r="1004" spans="2:8" ht="15.75" customHeight="1" x14ac:dyDescent="0.25">
      <c r="B1004" s="51"/>
      <c r="C1004" s="51"/>
      <c r="D1004" s="51"/>
      <c r="E1004" s="51"/>
      <c r="F1004" s="51"/>
      <c r="G1004" s="51"/>
      <c r="H1004" s="51"/>
    </row>
    <row r="1005" spans="2:8" ht="15.75" customHeight="1" x14ac:dyDescent="0.25">
      <c r="B1005" s="51"/>
      <c r="C1005" s="51"/>
      <c r="D1005" s="51"/>
      <c r="E1005" s="51"/>
      <c r="F1005" s="51"/>
      <c r="G1005" s="51"/>
      <c r="H1005" s="51"/>
    </row>
    <row r="1006" spans="2:8" ht="15.75" customHeight="1" x14ac:dyDescent="0.25">
      <c r="B1006" s="51"/>
      <c r="C1006" s="51"/>
      <c r="D1006" s="51"/>
      <c r="E1006" s="51"/>
      <c r="F1006" s="51"/>
      <c r="G1006" s="51"/>
      <c r="H1006" s="51"/>
    </row>
    <row r="1007" spans="2:8" ht="15.75" customHeight="1" x14ac:dyDescent="0.25">
      <c r="B1007" s="51"/>
      <c r="C1007" s="51"/>
      <c r="D1007" s="51"/>
      <c r="E1007" s="51"/>
      <c r="F1007" s="51"/>
      <c r="G1007" s="51"/>
      <c r="H1007" s="51"/>
    </row>
    <row r="1008" spans="2:8" ht="15.75" customHeight="1" x14ac:dyDescent="0.25">
      <c r="B1008" s="51"/>
      <c r="C1008" s="51"/>
      <c r="D1008" s="51"/>
      <c r="E1008" s="51"/>
      <c r="F1008" s="51"/>
      <c r="G1008" s="51"/>
      <c r="H1008" s="51"/>
    </row>
    <row r="1009" spans="2:8" ht="15.75" customHeight="1" x14ac:dyDescent="0.25">
      <c r="B1009" s="51"/>
      <c r="C1009" s="51"/>
      <c r="D1009" s="51"/>
      <c r="E1009" s="51"/>
      <c r="F1009" s="51"/>
      <c r="G1009" s="51"/>
      <c r="H1009" s="51"/>
    </row>
    <row r="1010" spans="2:8" ht="15.75" customHeight="1" x14ac:dyDescent="0.25">
      <c r="B1010" s="51"/>
      <c r="C1010" s="51"/>
      <c r="D1010" s="51"/>
      <c r="E1010" s="51"/>
      <c r="F1010" s="51"/>
      <c r="G1010" s="51"/>
      <c r="H1010" s="51"/>
    </row>
    <row r="1011" spans="2:8" ht="15.75" customHeight="1" x14ac:dyDescent="0.25">
      <c r="B1011" s="51"/>
      <c r="C1011" s="51"/>
      <c r="D1011" s="51"/>
      <c r="E1011" s="51"/>
      <c r="F1011" s="51"/>
      <c r="G1011" s="51"/>
      <c r="H1011" s="51"/>
    </row>
    <row r="1012" spans="2:8" ht="15.75" customHeight="1" x14ac:dyDescent="0.25">
      <c r="B1012" s="51"/>
      <c r="C1012" s="51"/>
      <c r="D1012" s="51"/>
      <c r="E1012" s="51"/>
      <c r="F1012" s="51"/>
      <c r="G1012" s="51"/>
      <c r="H1012" s="51"/>
    </row>
    <row r="1013" spans="2:8" ht="15.75" customHeight="1" x14ac:dyDescent="0.25">
      <c r="B1013" s="51"/>
      <c r="C1013" s="51"/>
      <c r="D1013" s="51"/>
      <c r="E1013" s="51"/>
      <c r="F1013" s="51"/>
      <c r="G1013" s="51"/>
      <c r="H1013" s="51"/>
    </row>
    <row r="1014" spans="2:8" ht="15.75" customHeight="1" x14ac:dyDescent="0.25">
      <c r="B1014" s="51"/>
      <c r="C1014" s="51"/>
      <c r="D1014" s="51"/>
      <c r="E1014" s="51"/>
      <c r="F1014" s="51"/>
      <c r="G1014" s="51"/>
      <c r="H1014" s="51"/>
    </row>
    <row r="1015" spans="2:8" ht="15.75" customHeight="1" x14ac:dyDescent="0.25">
      <c r="B1015" s="51"/>
      <c r="C1015" s="51"/>
      <c r="D1015" s="51"/>
      <c r="E1015" s="51"/>
      <c r="F1015" s="51"/>
      <c r="G1015" s="51"/>
      <c r="H1015" s="51"/>
    </row>
    <row r="1016" spans="2:8" ht="15.75" customHeight="1" x14ac:dyDescent="0.25">
      <c r="B1016" s="51"/>
      <c r="C1016" s="51"/>
      <c r="D1016" s="51"/>
      <c r="E1016" s="51"/>
      <c r="F1016" s="51"/>
      <c r="G1016" s="51"/>
      <c r="H1016" s="51"/>
    </row>
    <row r="1017" spans="2:8" ht="15.75" customHeight="1" x14ac:dyDescent="0.25">
      <c r="B1017" s="51"/>
      <c r="C1017" s="51"/>
      <c r="D1017" s="51"/>
      <c r="E1017" s="51"/>
      <c r="F1017" s="51"/>
      <c r="G1017" s="51"/>
      <c r="H1017" s="51"/>
    </row>
    <row r="1018" spans="2:8" ht="15.75" customHeight="1" x14ac:dyDescent="0.25">
      <c r="B1018" s="51"/>
      <c r="C1018" s="51"/>
      <c r="D1018" s="51"/>
      <c r="E1018" s="51"/>
      <c r="F1018" s="51"/>
      <c r="G1018" s="51"/>
      <c r="H1018" s="51"/>
    </row>
    <row r="1019" spans="2:8" ht="15.75" customHeight="1" x14ac:dyDescent="0.25">
      <c r="B1019" s="51"/>
      <c r="C1019" s="51"/>
      <c r="D1019" s="51"/>
      <c r="E1019" s="51"/>
      <c r="F1019" s="51"/>
      <c r="G1019" s="51"/>
      <c r="H1019" s="51"/>
    </row>
    <row r="1020" spans="2:8" ht="15.75" customHeight="1" x14ac:dyDescent="0.25">
      <c r="B1020" s="51"/>
      <c r="C1020" s="51"/>
      <c r="D1020" s="51"/>
      <c r="E1020" s="51"/>
      <c r="F1020" s="51"/>
      <c r="G1020" s="51"/>
      <c r="H1020" s="51"/>
    </row>
    <row r="1021" spans="2:8" ht="15.75" customHeight="1" x14ac:dyDescent="0.25">
      <c r="B1021" s="51"/>
      <c r="C1021" s="51"/>
      <c r="D1021" s="51"/>
      <c r="E1021" s="51"/>
      <c r="F1021" s="51"/>
      <c r="G1021" s="51"/>
      <c r="H1021" s="51"/>
    </row>
    <row r="1022" spans="2:8" ht="15.75" customHeight="1" x14ac:dyDescent="0.25">
      <c r="B1022" s="51"/>
      <c r="C1022" s="51"/>
      <c r="D1022" s="51"/>
      <c r="E1022" s="51"/>
      <c r="F1022" s="51"/>
      <c r="G1022" s="51"/>
      <c r="H1022" s="51"/>
    </row>
    <row r="1023" spans="2:8" ht="15.75" customHeight="1" x14ac:dyDescent="0.25">
      <c r="B1023" s="51"/>
      <c r="C1023" s="51"/>
      <c r="D1023" s="51"/>
      <c r="E1023" s="51"/>
      <c r="F1023" s="51"/>
      <c r="G1023" s="51"/>
      <c r="H1023" s="51"/>
    </row>
    <row r="1024" spans="2:8" ht="15.75" customHeight="1" x14ac:dyDescent="0.25">
      <c r="B1024" s="51"/>
      <c r="C1024" s="51"/>
      <c r="D1024" s="51"/>
      <c r="E1024" s="51"/>
      <c r="F1024" s="51"/>
      <c r="G1024" s="51"/>
      <c r="H1024" s="51"/>
    </row>
    <row r="1025" spans="2:8" ht="15.75" customHeight="1" x14ac:dyDescent="0.25">
      <c r="B1025" s="51"/>
      <c r="C1025" s="51"/>
      <c r="D1025" s="51"/>
      <c r="E1025" s="51"/>
      <c r="F1025" s="51"/>
      <c r="G1025" s="51"/>
      <c r="H1025" s="51"/>
    </row>
    <row r="1026" spans="2:8" ht="15.75" customHeight="1" x14ac:dyDescent="0.25">
      <c r="B1026" s="51"/>
      <c r="C1026" s="51"/>
      <c r="D1026" s="51"/>
      <c r="E1026" s="51"/>
      <c r="F1026" s="51"/>
      <c r="G1026" s="51"/>
      <c r="H1026" s="51"/>
    </row>
    <row r="1027" spans="2:8" ht="15.75" customHeight="1" x14ac:dyDescent="0.25">
      <c r="B1027" s="51"/>
      <c r="C1027" s="51"/>
      <c r="D1027" s="51"/>
      <c r="E1027" s="51"/>
      <c r="F1027" s="51"/>
      <c r="G1027" s="51"/>
      <c r="H1027" s="51"/>
    </row>
    <row r="1028" spans="2:8" ht="15.75" customHeight="1" x14ac:dyDescent="0.25">
      <c r="B1028" s="51"/>
      <c r="C1028" s="51"/>
      <c r="D1028" s="51"/>
      <c r="E1028" s="51"/>
      <c r="F1028" s="51"/>
      <c r="G1028" s="51"/>
      <c r="H1028" s="51"/>
    </row>
    <row r="1029" spans="2:8" ht="15.75" customHeight="1" x14ac:dyDescent="0.25">
      <c r="B1029" s="51"/>
      <c r="C1029" s="51"/>
      <c r="D1029" s="51"/>
      <c r="E1029" s="51"/>
      <c r="F1029" s="51"/>
      <c r="G1029" s="51"/>
      <c r="H1029" s="51"/>
    </row>
    <row r="1030" spans="2:8" ht="15.75" customHeight="1" x14ac:dyDescent="0.25">
      <c r="B1030" s="51"/>
      <c r="C1030" s="51"/>
      <c r="D1030" s="51"/>
      <c r="E1030" s="51"/>
      <c r="F1030" s="51"/>
      <c r="G1030" s="51"/>
      <c r="H1030" s="51"/>
    </row>
    <row r="1031" spans="2:8" ht="15.75" customHeight="1" x14ac:dyDescent="0.25">
      <c r="B1031" s="51"/>
      <c r="C1031" s="51"/>
      <c r="D1031" s="51"/>
      <c r="E1031" s="51"/>
      <c r="F1031" s="51"/>
      <c r="G1031" s="51"/>
      <c r="H1031" s="51"/>
    </row>
    <row r="1032" spans="2:8" ht="15.75" customHeight="1" x14ac:dyDescent="0.25">
      <c r="B1032" s="51"/>
      <c r="C1032" s="51"/>
      <c r="D1032" s="51"/>
      <c r="E1032" s="51"/>
      <c r="F1032" s="51"/>
      <c r="G1032" s="51"/>
      <c r="H1032" s="51"/>
    </row>
    <row r="1033" spans="2:8" ht="15.75" customHeight="1" x14ac:dyDescent="0.25">
      <c r="B1033" s="51"/>
      <c r="C1033" s="51"/>
      <c r="D1033" s="51"/>
      <c r="E1033" s="51"/>
      <c r="F1033" s="51"/>
      <c r="G1033" s="51"/>
      <c r="H1033" s="51"/>
    </row>
    <row r="1034" spans="2:8" ht="15.75" customHeight="1" x14ac:dyDescent="0.25">
      <c r="B1034" s="51"/>
      <c r="C1034" s="51"/>
      <c r="D1034" s="51"/>
      <c r="E1034" s="51"/>
      <c r="F1034" s="51"/>
      <c r="G1034" s="51"/>
      <c r="H1034" s="51"/>
    </row>
    <row r="1035" spans="2:8" ht="15" customHeight="1" x14ac:dyDescent="0.25">
      <c r="B1035" s="51"/>
      <c r="C1035" s="51"/>
      <c r="D1035" s="51"/>
      <c r="E1035" s="51"/>
      <c r="F1035" s="51"/>
      <c r="G1035" s="51"/>
      <c r="H1035" s="51"/>
    </row>
    <row r="1036" spans="2:8" ht="15" customHeight="1" x14ac:dyDescent="0.25">
      <c r="B1036" s="51"/>
      <c r="C1036" s="51"/>
      <c r="D1036" s="51"/>
      <c r="E1036" s="51"/>
      <c r="F1036" s="51"/>
      <c r="G1036" s="51"/>
      <c r="H1036" s="51"/>
    </row>
    <row r="1037" spans="2:8" ht="15" customHeight="1" x14ac:dyDescent="0.25">
      <c r="B1037" s="51"/>
      <c r="C1037" s="51"/>
      <c r="D1037" s="51"/>
      <c r="E1037" s="51"/>
      <c r="F1037" s="51"/>
      <c r="G1037" s="51"/>
      <c r="H1037" s="51"/>
    </row>
    <row r="1038" spans="2:8" ht="15" customHeight="1" x14ac:dyDescent="0.25">
      <c r="B1038" s="51"/>
      <c r="C1038" s="51"/>
      <c r="D1038" s="51"/>
      <c r="E1038" s="51"/>
      <c r="F1038" s="51"/>
      <c r="G1038" s="51"/>
      <c r="H1038" s="51"/>
    </row>
    <row r="1039" spans="2:8" ht="15" customHeight="1" x14ac:dyDescent="0.25">
      <c r="B1039" s="51"/>
      <c r="C1039" s="51"/>
      <c r="D1039" s="51"/>
      <c r="E1039" s="51"/>
      <c r="F1039" s="51"/>
      <c r="G1039" s="51"/>
      <c r="H1039" s="51"/>
    </row>
    <row r="1040" spans="2:8" ht="15" customHeight="1" x14ac:dyDescent="0.25">
      <c r="B1040" s="51"/>
      <c r="C1040" s="51"/>
      <c r="D1040" s="51"/>
      <c r="E1040" s="51"/>
      <c r="F1040" s="51"/>
      <c r="G1040" s="51"/>
      <c r="H1040" s="51"/>
    </row>
    <row r="1041" spans="2:8" ht="15" customHeight="1" x14ac:dyDescent="0.25">
      <c r="B1041" s="51"/>
      <c r="C1041" s="51"/>
      <c r="D1041" s="51"/>
      <c r="E1041" s="51"/>
      <c r="F1041" s="51"/>
      <c r="G1041" s="51"/>
      <c r="H1041" s="51"/>
    </row>
    <row r="1042" spans="2:8" ht="15" customHeight="1" x14ac:dyDescent="0.25">
      <c r="B1042" s="51"/>
      <c r="C1042" s="51"/>
      <c r="D1042" s="51"/>
      <c r="E1042" s="51"/>
      <c r="F1042" s="51"/>
      <c r="G1042" s="51"/>
      <c r="H1042" s="51"/>
    </row>
    <row r="1043" spans="2:8" ht="15" customHeight="1" x14ac:dyDescent="0.25">
      <c r="B1043" s="51"/>
      <c r="C1043" s="51"/>
      <c r="D1043" s="51"/>
      <c r="E1043" s="51"/>
      <c r="F1043" s="51"/>
      <c r="G1043" s="51"/>
      <c r="H1043" s="51"/>
    </row>
    <row r="1044" spans="2:8" ht="15" customHeight="1" x14ac:dyDescent="0.25">
      <c r="B1044" s="51"/>
      <c r="C1044" s="51"/>
      <c r="D1044" s="51"/>
      <c r="E1044" s="51"/>
      <c r="F1044" s="51"/>
      <c r="G1044" s="51"/>
      <c r="H1044" s="51"/>
    </row>
    <row r="1045" spans="2:8" ht="15" customHeight="1" x14ac:dyDescent="0.25">
      <c r="B1045" s="51"/>
      <c r="C1045" s="51"/>
      <c r="D1045" s="51"/>
      <c r="E1045" s="51"/>
      <c r="F1045" s="51"/>
      <c r="G1045" s="51"/>
      <c r="H1045" s="51"/>
    </row>
    <row r="1046" spans="2:8" ht="15" customHeight="1" x14ac:dyDescent="0.25">
      <c r="B1046" s="51"/>
      <c r="C1046" s="51"/>
      <c r="D1046" s="51"/>
      <c r="E1046" s="51"/>
      <c r="F1046" s="51"/>
      <c r="G1046" s="51"/>
      <c r="H1046" s="51"/>
    </row>
    <row r="1047" spans="2:8" ht="15" customHeight="1" x14ac:dyDescent="0.25">
      <c r="B1047" s="51"/>
      <c r="C1047" s="51"/>
      <c r="D1047" s="51"/>
      <c r="E1047" s="51"/>
      <c r="F1047" s="51"/>
      <c r="G1047" s="51"/>
      <c r="H1047" s="51"/>
    </row>
    <row r="1048" spans="2:8" ht="15" customHeight="1" x14ac:dyDescent="0.25">
      <c r="B1048" s="51"/>
      <c r="C1048" s="51"/>
      <c r="D1048" s="51"/>
      <c r="E1048" s="51"/>
      <c r="F1048" s="51"/>
      <c r="G1048" s="51"/>
      <c r="H1048" s="51"/>
    </row>
  </sheetData>
  <mergeCells count="6">
    <mergeCell ref="U2:W2"/>
    <mergeCell ref="B3:C3"/>
    <mergeCell ref="U3:W3"/>
    <mergeCell ref="U57:W57"/>
    <mergeCell ref="B58:C58"/>
    <mergeCell ref="U58:W58"/>
  </mergeCells>
  <pageMargins left="0.7" right="0.7" top="0.75" bottom="0.75" header="0" footer="0"/>
  <pageSetup orientation="landscape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5241A409833A42827288BBDF2ED2F2" ma:contentTypeVersion="5" ma:contentTypeDescription="Create a new document." ma:contentTypeScope="" ma:versionID="04bb8b77d59762ea7ef5aa33b3cd2afd">
  <xsd:schema xmlns:xsd="http://www.w3.org/2001/XMLSchema" xmlns:xs="http://www.w3.org/2001/XMLSchema" xmlns:p="http://schemas.microsoft.com/office/2006/metadata/properties" xmlns:ns1="http://schemas.microsoft.com/sharepoint/v3" xmlns:ns2="43182fc4-bc49-40a6-9dd5-41e4a5073683" targetNamespace="http://schemas.microsoft.com/office/2006/metadata/properties" ma:root="true" ma:fieldsID="541076d9c6f4cdece11c8b7e1250e3a3" ns1:_="" ns2:_="">
    <xsd:import namespace="http://schemas.microsoft.com/sharepoint/v3"/>
    <xsd:import namespace="43182fc4-bc49-40a6-9dd5-41e4a50736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82fc4-bc49-40a6-9dd5-41e4a50736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F88DCEF-C5BF-42DA-9B4D-3DA681B37C93}"/>
</file>

<file path=customXml/itemProps2.xml><?xml version="1.0" encoding="utf-8"?>
<ds:datastoreItem xmlns:ds="http://schemas.openxmlformats.org/officeDocument/2006/customXml" ds:itemID="{2AABC1CE-EB29-4380-8D08-C08FFB1DB4E1}"/>
</file>

<file path=customXml/itemProps3.xml><?xml version="1.0" encoding="utf-8"?>
<ds:datastoreItem xmlns:ds="http://schemas.openxmlformats.org/officeDocument/2006/customXml" ds:itemID="{C76CA827-3B66-4B03-B5EA-253C4C4C38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XTARGETS</vt:lpstr>
      <vt:lpstr>Collections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Greenhill Global</dc:creator>
  <cp:lastModifiedBy>Matt Dion</cp:lastModifiedBy>
  <dcterms:created xsi:type="dcterms:W3CDTF">2020-09-10T17:12:16Z</dcterms:created>
  <dcterms:modified xsi:type="dcterms:W3CDTF">2026-02-17T16:42:57Z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0x010100745241A409833A42827288BBDF2ED2F2</vt:lpwstr>
  </property>
</Properties>
</file>